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680" tabRatio="671" activeTab="0"/>
  </bookViews>
  <sheets>
    <sheet name="Ballistics" sheetId="1" r:id="rId1"/>
    <sheet name="Trajectory" sheetId="2" state="hidden" r:id="rId2"/>
    <sheet name="Firing Data" sheetId="3" state="hidden" r:id="rId3"/>
    <sheet name="MIL Aiming Points" sheetId="4" state="hidden" r:id="rId4"/>
    <sheet name="Conversions" sheetId="5" state="hidden" r:id="rId5"/>
  </sheets>
  <definedNames>
    <definedName name="__123Graph_B" hidden="1">'Ballistics'!$H$4:$H$20</definedName>
    <definedName name="__123Graph_X" hidden="1">'Ballistics'!$D$4:$D$20</definedName>
    <definedName name="_Regression_Int" localSheetId="0" hidden="1">1</definedName>
    <definedName name="_xlnm.Print_Area" localSheetId="4">'Conversions'!$A$1:$O$25</definedName>
    <definedName name="_xlnm.Print_Area" localSheetId="3">'MIL Aiming Points'!$A$1:$M$25</definedName>
    <definedName name="_xlnm.Print_Area" localSheetId="1">'Trajectory'!$A$1:$Q$10</definedName>
    <definedName name="Print_Area_MI" localSheetId="0">'Ballistics'!$A$2:$H$19</definedName>
    <definedName name="_xlnm.Print_Titles" localSheetId="0">'Ballistics'!$1:$1</definedName>
    <definedName name="Print_Titles_MI" localSheetId="0">'Ballistics'!#REF!</definedName>
  </definedNames>
  <calcPr fullCalcOnLoad="1"/>
</workbook>
</file>

<file path=xl/sharedStrings.xml><?xml version="1.0" encoding="utf-8"?>
<sst xmlns="http://schemas.openxmlformats.org/spreadsheetml/2006/main" count="216" uniqueCount="155">
  <si>
    <t>****************************</t>
  </si>
  <si>
    <t>TABULAR</t>
  </si>
  <si>
    <t>DATA</t>
  </si>
  <si>
    <t>*************************************</t>
  </si>
  <si>
    <t>######################################</t>
  </si>
  <si>
    <t xml:space="preserve">CHANGEABLE </t>
  </si>
  <si>
    <t>##################</t>
  </si>
  <si>
    <t>SULOOKUP</t>
  </si>
  <si>
    <t>1\SU</t>
  </si>
  <si>
    <t>VB</t>
  </si>
  <si>
    <t>AS</t>
  </si>
  <si>
    <t>BS</t>
  </si>
  <si>
    <t>CS</t>
  </si>
  <si>
    <t>AT</t>
  </si>
  <si>
    <t>BT</t>
  </si>
  <si>
    <t>CT</t>
  </si>
  <si>
    <t>SU</t>
  </si>
  <si>
    <t>TU</t>
  </si>
  <si>
    <t>T</t>
  </si>
  <si>
    <t>F</t>
  </si>
  <si>
    <t>DROP @ ZERO</t>
  </si>
  <si>
    <t>MOA @ ZERO</t>
  </si>
  <si>
    <t>TV</t>
  </si>
  <si>
    <t>SV</t>
  </si>
  <si>
    <t>RO</t>
  </si>
  <si>
    <t>AF</t>
  </si>
  <si>
    <t>RF</t>
  </si>
  <si>
    <t>Load Data</t>
  </si>
  <si>
    <t>Ballistic Data</t>
  </si>
  <si>
    <t>Distance (yds)</t>
  </si>
  <si>
    <t>Degrees C</t>
  </si>
  <si>
    <t>Degrees F</t>
  </si>
  <si>
    <t>Bullet BC</t>
  </si>
  <si>
    <t>Velocity (fps)</t>
  </si>
  <si>
    <t>Start Distance</t>
  </si>
  <si>
    <t>Range Increment</t>
  </si>
  <si>
    <t>Altitude (ft)</t>
  </si>
  <si>
    <t>Temperature (F)</t>
  </si>
  <si>
    <t>Zero Range (yds)</t>
  </si>
  <si>
    <t>Caliber</t>
  </si>
  <si>
    <t>Powder Type</t>
  </si>
  <si>
    <t>Case Type</t>
  </si>
  <si>
    <t>Bullet Type</t>
  </si>
  <si>
    <t>Primer</t>
  </si>
  <si>
    <t>yds</t>
  </si>
  <si>
    <t>fps</t>
  </si>
  <si>
    <t>ft/lbs</t>
  </si>
  <si>
    <t>Yards</t>
  </si>
  <si>
    <t>Meters</t>
  </si>
  <si>
    <r>
      <t>NOTE:</t>
    </r>
    <r>
      <rPr>
        <sz val="12"/>
        <rFont val="Arial"/>
        <family val="2"/>
      </rPr>
      <t xml:space="preserve">  Shooting uphill or downhill will cause the bullet to hit </t>
    </r>
    <r>
      <rPr>
        <b/>
        <sz val="12"/>
        <rFont val="Arial"/>
        <family val="2"/>
      </rPr>
      <t>high</t>
    </r>
    <r>
      <rPr>
        <sz val="12"/>
        <rFont val="Arial"/>
        <family val="2"/>
      </rPr>
      <t xml:space="preserve"> by the amount of inches listed in the slope columns.</t>
    </r>
  </si>
  <si>
    <t>Trajectory (MOA)</t>
  </si>
  <si>
    <t>Windage (MOA)</t>
  </si>
  <si>
    <t>Drop</t>
  </si>
  <si>
    <t>Velocity</t>
  </si>
  <si>
    <t>Energy</t>
  </si>
  <si>
    <t>Range</t>
  </si>
  <si>
    <t>Total</t>
  </si>
  <si>
    <t>MOA</t>
  </si>
  <si>
    <t>Clicks</t>
  </si>
  <si>
    <t xml:space="preserve">Elevation (ft)   </t>
  </si>
  <si>
    <t>Temp (F)</t>
  </si>
  <si>
    <t xml:space="preserve">STANDARD ATMOSPHERIC CONDITIONS </t>
  </si>
  <si>
    <t>Conversion Charts:</t>
  </si>
  <si>
    <t>Cartridge</t>
  </si>
  <si>
    <t>Abs Press (inch Hg)</t>
  </si>
  <si>
    <t>4 Clicks/MOA</t>
  </si>
  <si>
    <t>8 Clicks/MOA</t>
  </si>
  <si>
    <t xml:space="preserve">    Meters  --&gt; Yards</t>
  </si>
  <si>
    <t xml:space="preserve">    Yards  --&gt; Meters </t>
  </si>
  <si>
    <t xml:space="preserve">  Calculated</t>
  </si>
  <si>
    <t xml:space="preserve">  Range Conversion</t>
  </si>
  <si>
    <t>Path</t>
  </si>
  <si>
    <t>MILs</t>
  </si>
  <si>
    <t>Conversions:  MILs &lt;--&gt;  MOA</t>
  </si>
  <si>
    <t>Wind Speed (mph)</t>
  </si>
  <si>
    <t xml:space="preserve"> </t>
  </si>
  <si>
    <t>Distance (m)</t>
  </si>
  <si>
    <t>Trajectory (MILs)</t>
  </si>
  <si>
    <t>Windage (MILs)</t>
  </si>
  <si>
    <t>Time of Flight (sec)</t>
  </si>
  <si>
    <t>Center Lead (MILs)</t>
  </si>
  <si>
    <t>Find a MIL or MOA value between ranges</t>
  </si>
  <si>
    <t>Find an Interval</t>
  </si>
  <si>
    <t>Range 1</t>
  </si>
  <si>
    <t>Setting 1</t>
  </si>
  <si>
    <t>Value @ range 1</t>
  </si>
  <si>
    <t>Setting 2</t>
  </si>
  <si>
    <t>Range 2</t>
  </si>
  <si>
    <t>Interval</t>
  </si>
  <si>
    <t>Value @ range 2</t>
  </si>
  <si>
    <t>Desired Range</t>
  </si>
  <si>
    <t>Cosine Constants</t>
  </si>
  <si>
    <t>15 Degrees</t>
  </si>
  <si>
    <t>30 Degrees</t>
  </si>
  <si>
    <t>45 Degrees</t>
  </si>
  <si>
    <t xml:space="preserve">Wind Speed in mph = </t>
  </si>
  <si>
    <t>15 Deg Slope = Down MOA</t>
  </si>
  <si>
    <t>30 Deg Slope = Down MOA</t>
  </si>
  <si>
    <t>45 Deg Slope = Down MOA</t>
  </si>
  <si>
    <t>Moving Target</t>
  </si>
  <si>
    <t>Moving Target =</t>
  </si>
  <si>
    <t>mph</t>
  </si>
  <si>
    <t xml:space="preserve">1 mph = </t>
  </si>
  <si>
    <t xml:space="preserve">3 mph = </t>
  </si>
  <si>
    <t xml:space="preserve">4 mph = </t>
  </si>
  <si>
    <t>Input speed in mph</t>
  </si>
  <si>
    <t>Target Size (Inch)</t>
  </si>
  <si>
    <t>Target Size (MIL)</t>
  </si>
  <si>
    <t>Range (yds)</t>
  </si>
  <si>
    <t>Target Size (Feet)</t>
  </si>
  <si>
    <t>Calculate Lead for moving Targets</t>
  </si>
  <si>
    <t>Target Speed (fps)</t>
  </si>
  <si>
    <t>Lead From Target</t>
  </si>
  <si>
    <t>Center Hold</t>
  </si>
  <si>
    <t>Leading Edge</t>
  </si>
  <si>
    <t>Leading edge figures a 6inch depth of impact into target</t>
  </si>
  <si>
    <t>Aiming points for</t>
  </si>
  <si>
    <t>MIL Dot Reticle</t>
  </si>
  <si>
    <t>MILs Wind</t>
  </si>
  <si>
    <t>TOF</t>
  </si>
  <si>
    <t>Bullet</t>
  </si>
  <si>
    <t>Temp</t>
  </si>
  <si>
    <t>Altitude</t>
  </si>
  <si>
    <t>MIL</t>
  </si>
  <si>
    <t>15 Deg</t>
  </si>
  <si>
    <t>30 Deg</t>
  </si>
  <si>
    <t>45 Deg</t>
  </si>
  <si>
    <t>Vel.</t>
  </si>
  <si>
    <t>Wind =</t>
  </si>
  <si>
    <t xml:space="preserve">Data must be entered into the </t>
  </si>
  <si>
    <t>yellow cells only, all other cells</t>
  </si>
  <si>
    <t>are protected.</t>
  </si>
  <si>
    <t>Weapon Zero (yards)</t>
  </si>
  <si>
    <t>Bullet weight (gr)</t>
  </si>
  <si>
    <r>
      <t>Input</t>
    </r>
    <r>
      <rPr>
        <sz val="10"/>
        <rFont val="Arial"/>
        <family val="2"/>
      </rPr>
      <t xml:space="preserve"> Object Size (inches)</t>
    </r>
  </si>
  <si>
    <r>
      <t xml:space="preserve">gives approx </t>
    </r>
    <r>
      <rPr>
        <b/>
        <sz val="10"/>
        <rFont val="Arial"/>
        <family val="2"/>
      </rPr>
      <t>MIL reading</t>
    </r>
  </si>
  <si>
    <t>Powder Wt (gr)</t>
  </si>
  <si>
    <t>Bullet Wt (gr)</t>
  </si>
  <si>
    <t>Scope Ht (inch)</t>
  </si>
  <si>
    <t>Inch</t>
  </si>
  <si>
    <t>Ballistic Calculator</t>
  </si>
  <si>
    <t>Target Vely (fps)</t>
  </si>
  <si>
    <t>Actual Firing Data</t>
  </si>
  <si>
    <t>Temp F</t>
  </si>
  <si>
    <t>Range Yds</t>
  </si>
  <si>
    <t>Bullet Drop (MOA)</t>
  </si>
  <si>
    <t>Trajectory</t>
  </si>
  <si>
    <t>secs</t>
  </si>
  <si>
    <t>Secs</t>
  </si>
  <si>
    <t>Slope (Inchs High)</t>
  </si>
  <si>
    <t>Home load</t>
  </si>
  <si>
    <t>Win Fed 210M</t>
  </si>
  <si>
    <t>BL-C(2)</t>
  </si>
  <si>
    <t>Win</t>
  </si>
  <si>
    <t>Sierra Palma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</si>
</sst>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dd\-mmm\-yy_)"/>
    <numFmt numFmtId="174" formatCode="0_)"/>
    <numFmt numFmtId="175" formatCode="0.0_)"/>
    <numFmt numFmtId="176" formatCode="0.000_)"/>
    <numFmt numFmtId="177" formatCode="0.0"/>
    <numFmt numFmtId="178" formatCode="0.000"/>
    <numFmt numFmtId="179" formatCode="0.0;[Red]0.0"/>
    <numFmt numFmtId="180" formatCode="0.000000000000000"/>
    <numFmt numFmtId="181" formatCode="0.00000000000000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7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color indexed="1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2"/>
      <name val="Courier"/>
      <family val="3"/>
    </font>
    <font>
      <sz val="12"/>
      <name val="Arial"/>
      <family val="2"/>
    </font>
    <font>
      <sz val="10"/>
      <color indexed="22"/>
      <name val="Courier"/>
      <family val="3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name val="Courier"/>
      <family val="3"/>
    </font>
    <font>
      <b/>
      <u val="single"/>
      <sz val="11"/>
      <name val="Arial"/>
      <family val="2"/>
    </font>
    <font>
      <sz val="11"/>
      <name val="Courier"/>
      <family val="3"/>
    </font>
    <font>
      <b/>
      <u val="single"/>
      <sz val="10"/>
      <name val="Arial"/>
      <family val="2"/>
    </font>
    <font>
      <sz val="11"/>
      <color indexed="18"/>
      <name val="Arial"/>
      <family val="2"/>
    </font>
    <font>
      <b/>
      <sz val="9"/>
      <name val="Arial"/>
      <family val="2"/>
    </font>
    <font>
      <sz val="9"/>
      <name val="Courier"/>
      <family val="3"/>
    </font>
    <font>
      <sz val="9"/>
      <name val="Arial"/>
      <family val="2"/>
    </font>
    <font>
      <sz val="11"/>
      <color indexed="8"/>
      <name val="Arial"/>
      <family val="2"/>
    </font>
    <font>
      <sz val="10"/>
      <color indexed="8"/>
      <name val="Courier"/>
      <family val="3"/>
    </font>
    <font>
      <b/>
      <sz val="12"/>
      <color indexed="8"/>
      <name val="Arial"/>
      <family val="2"/>
    </font>
    <font>
      <sz val="10"/>
      <name val="Calibri"/>
      <family val="2"/>
    </font>
    <font>
      <u val="single"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20"/>
      <name val="Calibri"/>
      <family val="2"/>
    </font>
    <font>
      <sz val="10"/>
      <color indexed="22"/>
      <name val="Tahoma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</borders>
  <cellStyleXfs count="61">
    <xf numFmtId="0" fontId="0" fillId="2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1" applyNumberFormat="0" applyAlignment="0" applyProtection="0"/>
    <xf numFmtId="0" fontId="58" fillId="29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1" borderId="1" applyNumberFormat="0" applyAlignment="0" applyProtection="0"/>
    <xf numFmtId="0" fontId="65" fillId="0" borderId="6" applyNumberFormat="0" applyFill="0" applyAlignment="0" applyProtection="0"/>
    <xf numFmtId="0" fontId="66" fillId="32" borderId="0" applyNumberFormat="0" applyBorder="0" applyAlignment="0" applyProtection="0"/>
    <xf numFmtId="0" fontId="0" fillId="33" borderId="7" applyNumberFormat="0" applyFont="0" applyAlignment="0" applyProtection="0"/>
    <xf numFmtId="0" fontId="67" fillId="28" borderId="8" applyNumberFormat="0" applyAlignment="0" applyProtection="0"/>
    <xf numFmtId="9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11">
    <xf numFmtId="0" fontId="0" fillId="2" borderId="0" xfId="0" applyAlignment="1">
      <alignment/>
    </xf>
    <xf numFmtId="174" fontId="0" fillId="2" borderId="0" xfId="0" applyNumberFormat="1" applyAlignment="1" applyProtection="1">
      <alignment/>
      <protection/>
    </xf>
    <xf numFmtId="0" fontId="0" fillId="2" borderId="0" xfId="0" applyAlignment="1" applyProtection="1">
      <alignment/>
      <protection/>
    </xf>
    <xf numFmtId="0" fontId="6" fillId="2" borderId="0" xfId="0" applyFont="1" applyAlignment="1">
      <alignment/>
    </xf>
    <xf numFmtId="0" fontId="7" fillId="2" borderId="0" xfId="0" applyFont="1" applyAlignment="1">
      <alignment/>
    </xf>
    <xf numFmtId="0" fontId="4" fillId="2" borderId="0" xfId="0" applyFont="1" applyAlignment="1">
      <alignment/>
    </xf>
    <xf numFmtId="0" fontId="1" fillId="2" borderId="0" xfId="0" applyFont="1" applyAlignment="1">
      <alignment/>
    </xf>
    <xf numFmtId="0" fontId="4" fillId="2" borderId="0" xfId="0" applyFont="1" applyFill="1" applyAlignment="1">
      <alignment/>
    </xf>
    <xf numFmtId="0" fontId="10" fillId="2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12" fillId="2" borderId="0" xfId="0" applyFont="1" applyAlignment="1">
      <alignment/>
    </xf>
    <xf numFmtId="177" fontId="12" fillId="2" borderId="0" xfId="0" applyNumberFormat="1" applyFont="1" applyAlignment="1" applyProtection="1">
      <alignment horizontal="left"/>
      <protection/>
    </xf>
    <xf numFmtId="0" fontId="12" fillId="2" borderId="0" xfId="0" applyFont="1" applyAlignment="1" applyProtection="1">
      <alignment horizontal="left"/>
      <protection/>
    </xf>
    <xf numFmtId="0" fontId="12" fillId="2" borderId="0" xfId="0" applyFont="1" applyAlignment="1" applyProtection="1">
      <alignment/>
      <protection/>
    </xf>
    <xf numFmtId="0" fontId="11" fillId="2" borderId="0" xfId="0" applyFont="1" applyAlignment="1">
      <alignment horizontal="center"/>
    </xf>
    <xf numFmtId="0" fontId="7" fillId="35" borderId="13" xfId="0" applyFont="1" applyFill="1" applyBorder="1" applyAlignment="1">
      <alignment horizontal="left"/>
    </xf>
    <xf numFmtId="0" fontId="9" fillId="35" borderId="14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178" fontId="11" fillId="2" borderId="15" xfId="0" applyNumberFormat="1" applyFont="1" applyBorder="1" applyAlignment="1">
      <alignment horizontal="center"/>
    </xf>
    <xf numFmtId="0" fontId="11" fillId="2" borderId="15" xfId="0" applyFont="1" applyBorder="1" applyAlignment="1">
      <alignment horizontal="center"/>
    </xf>
    <xf numFmtId="0" fontId="17" fillId="2" borderId="0" xfId="0" applyFont="1" applyAlignment="1">
      <alignment/>
    </xf>
    <xf numFmtId="0" fontId="7" fillId="35" borderId="16" xfId="0" applyFont="1" applyFill="1" applyBorder="1" applyAlignment="1">
      <alignment horizontal="left"/>
    </xf>
    <xf numFmtId="0" fontId="10" fillId="35" borderId="16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2" borderId="0" xfId="0" applyFont="1" applyBorder="1" applyAlignment="1">
      <alignment horizontal="center"/>
    </xf>
    <xf numFmtId="0" fontId="4" fillId="2" borderId="18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1" fontId="11" fillId="34" borderId="0" xfId="0" applyNumberFormat="1" applyFont="1" applyFill="1" applyBorder="1" applyAlignment="1">
      <alignment horizontal="center"/>
    </xf>
    <xf numFmtId="0" fontId="7" fillId="35" borderId="18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9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0" fillId="2" borderId="0" xfId="0" applyFont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5" borderId="19" xfId="0" applyFont="1" applyFill="1" applyBorder="1" applyAlignment="1">
      <alignment/>
    </xf>
    <xf numFmtId="0" fontId="0" fillId="35" borderId="17" xfId="0" applyFill="1" applyBorder="1" applyAlignment="1">
      <alignment/>
    </xf>
    <xf numFmtId="0" fontId="7" fillId="35" borderId="15" xfId="0" applyFont="1" applyFill="1" applyBorder="1" applyAlignment="1">
      <alignment horizontal="center"/>
    </xf>
    <xf numFmtId="0" fontId="11" fillId="2" borderId="18" xfId="0" applyFont="1" applyFill="1" applyBorder="1" applyAlignment="1">
      <alignment/>
    </xf>
    <xf numFmtId="0" fontId="11" fillId="2" borderId="0" xfId="0" applyFont="1" applyAlignment="1">
      <alignment/>
    </xf>
    <xf numFmtId="0" fontId="11" fillId="2" borderId="18" xfId="0" applyFont="1" applyBorder="1" applyAlignment="1">
      <alignment horizontal="center"/>
    </xf>
    <xf numFmtId="0" fontId="0" fillId="35" borderId="16" xfId="0" applyFill="1" applyBorder="1" applyAlignment="1">
      <alignment/>
    </xf>
    <xf numFmtId="0" fontId="7" fillId="2" borderId="0" xfId="0" applyFont="1" applyBorder="1" applyAlignment="1">
      <alignment horizontal="center"/>
    </xf>
    <xf numFmtId="0" fontId="5" fillId="36" borderId="0" xfId="0" applyFont="1" applyFill="1" applyAlignment="1" applyProtection="1">
      <alignment horizontal="right"/>
      <protection locked="0"/>
    </xf>
    <xf numFmtId="0" fontId="18" fillId="2" borderId="0" xfId="0" applyFont="1" applyAlignment="1">
      <alignment/>
    </xf>
    <xf numFmtId="0" fontId="16" fillId="2" borderId="0" xfId="0" applyFont="1" applyAlignment="1">
      <alignment horizontal="left"/>
    </xf>
    <xf numFmtId="0" fontId="20" fillId="2" borderId="13" xfId="0" applyFont="1" applyBorder="1" applyAlignment="1">
      <alignment/>
    </xf>
    <xf numFmtId="0" fontId="4" fillId="2" borderId="16" xfId="0" applyFont="1" applyBorder="1" applyAlignment="1">
      <alignment/>
    </xf>
    <xf numFmtId="0" fontId="0" fillId="2" borderId="14" xfId="0" applyBorder="1" applyAlignment="1">
      <alignment/>
    </xf>
    <xf numFmtId="0" fontId="0" fillId="2" borderId="18" xfId="0" applyBorder="1" applyAlignment="1">
      <alignment/>
    </xf>
    <xf numFmtId="0" fontId="4" fillId="2" borderId="14" xfId="0" applyFont="1" applyBorder="1" applyAlignment="1">
      <alignment/>
    </xf>
    <xf numFmtId="0" fontId="15" fillId="2" borderId="18" xfId="0" applyFont="1" applyBorder="1" applyAlignment="1">
      <alignment/>
    </xf>
    <xf numFmtId="0" fontId="15" fillId="2" borderId="0" xfId="0" applyFont="1" applyFill="1" applyBorder="1" applyAlignment="1">
      <alignment/>
    </xf>
    <xf numFmtId="0" fontId="21" fillId="2" borderId="10" xfId="0" applyFont="1" applyBorder="1" applyAlignment="1">
      <alignment/>
    </xf>
    <xf numFmtId="0" fontId="21" fillId="2" borderId="18" xfId="0" applyFont="1" applyBorder="1" applyAlignment="1">
      <alignment/>
    </xf>
    <xf numFmtId="0" fontId="15" fillId="2" borderId="0" xfId="0" applyFont="1" applyBorder="1" applyAlignment="1">
      <alignment/>
    </xf>
    <xf numFmtId="0" fontId="15" fillId="2" borderId="19" xfId="0" applyFont="1" applyBorder="1" applyAlignment="1">
      <alignment/>
    </xf>
    <xf numFmtId="0" fontId="15" fillId="2" borderId="22" xfId="0" applyFont="1" applyBorder="1" applyAlignment="1">
      <alignment/>
    </xf>
    <xf numFmtId="0" fontId="15" fillId="34" borderId="17" xfId="0" applyFont="1" applyFill="1" applyBorder="1" applyAlignment="1">
      <alignment/>
    </xf>
    <xf numFmtId="0" fontId="14" fillId="2" borderId="22" xfId="0" applyFont="1" applyBorder="1" applyAlignment="1">
      <alignment horizontal="center"/>
    </xf>
    <xf numFmtId="0" fontId="15" fillId="2" borderId="0" xfId="0" applyFont="1" applyAlignment="1">
      <alignment/>
    </xf>
    <xf numFmtId="177" fontId="15" fillId="34" borderId="12" xfId="0" applyNumberFormat="1" applyFont="1" applyFill="1" applyBorder="1" applyAlignment="1">
      <alignment/>
    </xf>
    <xf numFmtId="0" fontId="21" fillId="2" borderId="17" xfId="0" applyFont="1" applyBorder="1" applyAlignment="1">
      <alignment/>
    </xf>
    <xf numFmtId="0" fontId="11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11" fillId="2" borderId="15" xfId="0" applyFont="1" applyBorder="1" applyAlignment="1">
      <alignment/>
    </xf>
    <xf numFmtId="0" fontId="7" fillId="37" borderId="15" xfId="0" applyFont="1" applyFill="1" applyBorder="1" applyAlignment="1">
      <alignment/>
    </xf>
    <xf numFmtId="1" fontId="15" fillId="38" borderId="0" xfId="0" applyNumberFormat="1" applyFont="1" applyFill="1" applyBorder="1" applyAlignment="1" applyProtection="1">
      <alignment/>
      <protection locked="0"/>
    </xf>
    <xf numFmtId="177" fontId="15" fillId="38" borderId="0" xfId="0" applyNumberFormat="1" applyFont="1" applyFill="1" applyBorder="1" applyAlignment="1" applyProtection="1">
      <alignment/>
      <protection locked="0"/>
    </xf>
    <xf numFmtId="0" fontId="15" fillId="38" borderId="22" xfId="0" applyFont="1" applyFill="1" applyBorder="1" applyAlignment="1" applyProtection="1">
      <alignment/>
      <protection locked="0"/>
    </xf>
    <xf numFmtId="0" fontId="15" fillId="38" borderId="10" xfId="0" applyFont="1" applyFill="1" applyBorder="1" applyAlignment="1" applyProtection="1">
      <alignment/>
      <protection locked="0"/>
    </xf>
    <xf numFmtId="0" fontId="11" fillId="38" borderId="15" xfId="0" applyFont="1" applyFill="1" applyBorder="1" applyAlignment="1" applyProtection="1">
      <alignment/>
      <protection locked="0"/>
    </xf>
    <xf numFmtId="0" fontId="11" fillId="38" borderId="15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1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1" fillId="2" borderId="0" xfId="0" applyFont="1" applyAlignment="1">
      <alignment horizontal="left"/>
    </xf>
    <xf numFmtId="0" fontId="7" fillId="35" borderId="20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7" fillId="35" borderId="15" xfId="0" applyFont="1" applyFill="1" applyBorder="1" applyAlignment="1">
      <alignment/>
    </xf>
    <xf numFmtId="177" fontId="7" fillId="2" borderId="0" xfId="0" applyNumberFormat="1" applyFont="1" applyFill="1" applyAlignment="1">
      <alignment horizontal="center"/>
    </xf>
    <xf numFmtId="1" fontId="7" fillId="39" borderId="18" xfId="0" applyNumberFormat="1" applyFont="1" applyFill="1" applyBorder="1" applyAlignment="1">
      <alignment horizontal="center"/>
    </xf>
    <xf numFmtId="1" fontId="11" fillId="39" borderId="0" xfId="0" applyNumberFormat="1" applyFont="1" applyFill="1" applyBorder="1" applyAlignment="1">
      <alignment horizontal="center"/>
    </xf>
    <xf numFmtId="177" fontId="7" fillId="0" borderId="10" xfId="0" applyNumberFormat="1" applyFont="1" applyFill="1" applyBorder="1" applyAlignment="1">
      <alignment horizontal="center"/>
    </xf>
    <xf numFmtId="177" fontId="11" fillId="2" borderId="10" xfId="0" applyNumberFormat="1" applyFont="1" applyBorder="1" applyAlignment="1">
      <alignment horizontal="center"/>
    </xf>
    <xf numFmtId="177" fontId="11" fillId="2" borderId="0" xfId="0" applyNumberFormat="1" applyFont="1" applyAlignment="1">
      <alignment horizontal="center"/>
    </xf>
    <xf numFmtId="1" fontId="7" fillId="34" borderId="18" xfId="0" applyNumberFormat="1" applyFont="1" applyFill="1" applyBorder="1" applyAlignment="1">
      <alignment horizontal="center"/>
    </xf>
    <xf numFmtId="177" fontId="7" fillId="0" borderId="17" xfId="0" applyNumberFormat="1" applyFont="1" applyFill="1" applyBorder="1" applyAlignment="1">
      <alignment horizontal="center"/>
    </xf>
    <xf numFmtId="177" fontId="11" fillId="2" borderId="17" xfId="0" applyNumberFormat="1" applyFont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7" fillId="2" borderId="0" xfId="0" applyFont="1" applyBorder="1" applyAlignment="1">
      <alignment horizontal="right"/>
    </xf>
    <xf numFmtId="0" fontId="7" fillId="2" borderId="0" xfId="0" applyFont="1" applyAlignment="1">
      <alignment horizontal="center"/>
    </xf>
    <xf numFmtId="0" fontId="9" fillId="35" borderId="13" xfId="0" applyFont="1" applyFill="1" applyBorder="1" applyAlignment="1">
      <alignment/>
    </xf>
    <xf numFmtId="0" fontId="1" fillId="2" borderId="15" xfId="0" applyFont="1" applyBorder="1" applyAlignment="1">
      <alignment/>
    </xf>
    <xf numFmtId="178" fontId="11" fillId="38" borderId="15" xfId="0" applyNumberFormat="1" applyFont="1" applyFill="1" applyBorder="1" applyAlignment="1" applyProtection="1">
      <alignment horizontal="center"/>
      <protection locked="0"/>
    </xf>
    <xf numFmtId="177" fontId="11" fillId="35" borderId="15" xfId="0" applyNumberFormat="1" applyFont="1" applyFill="1" applyBorder="1" applyAlignment="1">
      <alignment horizontal="center"/>
    </xf>
    <xf numFmtId="1" fontId="11" fillId="38" borderId="15" xfId="0" applyNumberFormat="1" applyFont="1" applyFill="1" applyBorder="1" applyAlignment="1" applyProtection="1">
      <alignment horizontal="center"/>
      <protection locked="0"/>
    </xf>
    <xf numFmtId="1" fontId="7" fillId="35" borderId="15" xfId="0" applyNumberFormat="1" applyFont="1" applyFill="1" applyBorder="1" applyAlignment="1">
      <alignment horizontal="center"/>
    </xf>
    <xf numFmtId="0" fontId="0" fillId="2" borderId="15" xfId="0" applyBorder="1" applyAlignment="1">
      <alignment/>
    </xf>
    <xf numFmtId="0" fontId="22" fillId="2" borderId="15" xfId="0" applyFont="1" applyBorder="1" applyAlignment="1">
      <alignment horizontal="center"/>
    </xf>
    <xf numFmtId="177" fontId="7" fillId="34" borderId="15" xfId="0" applyNumberFormat="1" applyFont="1" applyFill="1" applyBorder="1" applyAlignment="1">
      <alignment horizontal="center"/>
    </xf>
    <xf numFmtId="0" fontId="19" fillId="2" borderId="15" xfId="0" applyFont="1" applyBorder="1" applyAlignment="1">
      <alignment/>
    </xf>
    <xf numFmtId="178" fontId="7" fillId="35" borderId="15" xfId="0" applyNumberFormat="1" applyFont="1" applyFill="1" applyBorder="1" applyAlignment="1">
      <alignment horizontal="left"/>
    </xf>
    <xf numFmtId="0" fontId="11" fillId="35" borderId="15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177" fontId="11" fillId="38" borderId="15" xfId="0" applyNumberFormat="1" applyFont="1" applyFill="1" applyBorder="1" applyAlignment="1" applyProtection="1">
      <alignment horizontal="center"/>
      <protection locked="0"/>
    </xf>
    <xf numFmtId="0" fontId="0" fillId="35" borderId="15" xfId="0" applyFill="1" applyBorder="1" applyAlignment="1">
      <alignment/>
    </xf>
    <xf numFmtId="1" fontId="7" fillId="34" borderId="15" xfId="0" applyNumberFormat="1" applyFont="1" applyFill="1" applyBorder="1" applyAlignment="1">
      <alignment horizontal="center"/>
    </xf>
    <xf numFmtId="0" fontId="7" fillId="2" borderId="15" xfId="0" applyFont="1" applyBorder="1" applyAlignment="1">
      <alignment horizontal="left"/>
    </xf>
    <xf numFmtId="1" fontId="11" fillId="34" borderId="15" xfId="0" applyNumberFormat="1" applyFont="1" applyFill="1" applyBorder="1" applyAlignment="1">
      <alignment horizontal="center"/>
    </xf>
    <xf numFmtId="0" fontId="7" fillId="2" borderId="15" xfId="0" applyFont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177" fontId="11" fillId="34" borderId="15" xfId="0" applyNumberFormat="1" applyFont="1" applyFill="1" applyBorder="1" applyAlignment="1">
      <alignment horizontal="center"/>
    </xf>
    <xf numFmtId="0" fontId="15" fillId="2" borderId="0" xfId="0" applyFont="1" applyAlignment="1">
      <alignment horizontal="right"/>
    </xf>
    <xf numFmtId="0" fontId="23" fillId="40" borderId="0" xfId="0" applyFont="1" applyFill="1" applyAlignment="1">
      <alignment horizontal="right"/>
    </xf>
    <xf numFmtId="0" fontId="16" fillId="2" borderId="23" xfId="0" applyFont="1" applyBorder="1" applyAlignment="1">
      <alignment/>
    </xf>
    <xf numFmtId="174" fontId="23" fillId="2" borderId="0" xfId="0" applyNumberFormat="1" applyFont="1" applyFill="1" applyBorder="1" applyAlignment="1" applyProtection="1">
      <alignment horizontal="right"/>
      <protection locked="0"/>
    </xf>
    <xf numFmtId="0" fontId="26" fillId="34" borderId="0" xfId="0" applyFont="1" applyFill="1" applyBorder="1" applyAlignment="1" applyProtection="1">
      <alignment horizontal="center"/>
      <protection/>
    </xf>
    <xf numFmtId="175" fontId="24" fillId="34" borderId="0" xfId="0" applyNumberFormat="1" applyFont="1" applyFill="1" applyBorder="1" applyAlignment="1" applyProtection="1">
      <alignment horizontal="center"/>
      <protection/>
    </xf>
    <xf numFmtId="175" fontId="24" fillId="34" borderId="18" xfId="0" applyNumberFormat="1" applyFont="1" applyFill="1" applyBorder="1" applyAlignment="1" applyProtection="1">
      <alignment horizontal="center"/>
      <protection/>
    </xf>
    <xf numFmtId="0" fontId="26" fillId="2" borderId="0" xfId="0" applyFont="1" applyFill="1" applyBorder="1" applyAlignment="1" applyProtection="1">
      <alignment horizontal="center"/>
      <protection/>
    </xf>
    <xf numFmtId="175" fontId="24" fillId="2" borderId="0" xfId="0" applyNumberFormat="1" applyFont="1" applyFill="1" applyBorder="1" applyAlignment="1" applyProtection="1">
      <alignment horizontal="center"/>
      <protection/>
    </xf>
    <xf numFmtId="175" fontId="24" fillId="2" borderId="18" xfId="0" applyNumberFormat="1" applyFont="1" applyFill="1" applyBorder="1" applyAlignment="1" applyProtection="1">
      <alignment horizontal="center"/>
      <protection/>
    </xf>
    <xf numFmtId="0" fontId="26" fillId="34" borderId="22" xfId="0" applyFont="1" applyFill="1" applyBorder="1" applyAlignment="1" applyProtection="1">
      <alignment horizontal="center"/>
      <protection/>
    </xf>
    <xf numFmtId="175" fontId="24" fillId="34" borderId="22" xfId="0" applyNumberFormat="1" applyFont="1" applyFill="1" applyBorder="1" applyAlignment="1" applyProtection="1">
      <alignment horizontal="center"/>
      <protection/>
    </xf>
    <xf numFmtId="175" fontId="24" fillId="34" borderId="19" xfId="0" applyNumberFormat="1" applyFont="1" applyFill="1" applyBorder="1" applyAlignment="1" applyProtection="1">
      <alignment horizontal="center"/>
      <protection/>
    </xf>
    <xf numFmtId="0" fontId="1" fillId="2" borderId="0" xfId="0" applyFont="1" applyBorder="1" applyAlignment="1">
      <alignment/>
    </xf>
    <xf numFmtId="0" fontId="7" fillId="2" borderId="0" xfId="0" applyFont="1" applyFill="1" applyBorder="1" applyAlignment="1">
      <alignment horizontal="center"/>
    </xf>
    <xf numFmtId="174" fontId="27" fillId="38" borderId="0" xfId="0" applyNumberFormat="1" applyFont="1" applyFill="1" applyBorder="1" applyAlignment="1" applyProtection="1">
      <alignment horizontal="right"/>
      <protection locked="0"/>
    </xf>
    <xf numFmtId="0" fontId="28" fillId="38" borderId="0" xfId="0" applyFont="1" applyFill="1" applyAlignment="1">
      <alignment/>
    </xf>
    <xf numFmtId="174" fontId="23" fillId="38" borderId="24" xfId="0" applyNumberFormat="1" applyFont="1" applyFill="1" applyBorder="1" applyAlignment="1" applyProtection="1">
      <alignment horizontal="right"/>
      <protection locked="0"/>
    </xf>
    <xf numFmtId="174" fontId="23" fillId="38" borderId="25" xfId="0" applyNumberFormat="1" applyFont="1" applyFill="1" applyBorder="1" applyAlignment="1" applyProtection="1">
      <alignment horizontal="right"/>
      <protection locked="0"/>
    </xf>
    <xf numFmtId="176" fontId="23" fillId="38" borderId="25" xfId="0" applyNumberFormat="1" applyFont="1" applyFill="1" applyBorder="1" applyAlignment="1" applyProtection="1">
      <alignment horizontal="right"/>
      <protection locked="0"/>
    </xf>
    <xf numFmtId="172" fontId="23" fillId="38" borderId="25" xfId="0" applyNumberFormat="1" applyFont="1" applyFill="1" applyBorder="1" applyAlignment="1" applyProtection="1">
      <alignment horizontal="right"/>
      <protection locked="0"/>
    </xf>
    <xf numFmtId="174" fontId="23" fillId="38" borderId="26" xfId="0" applyNumberFormat="1" applyFont="1" applyFill="1" applyBorder="1" applyAlignment="1" applyProtection="1">
      <alignment horizontal="right"/>
      <protection locked="0"/>
    </xf>
    <xf numFmtId="0" fontId="23" fillId="38" borderId="24" xfId="0" applyFont="1" applyFill="1" applyBorder="1" applyAlignment="1" applyProtection="1">
      <alignment horizontal="right"/>
      <protection locked="0"/>
    </xf>
    <xf numFmtId="0" fontId="23" fillId="38" borderId="25" xfId="0" applyFont="1" applyFill="1" applyBorder="1" applyAlignment="1" applyProtection="1">
      <alignment horizontal="right"/>
      <protection locked="0"/>
    </xf>
    <xf numFmtId="177" fontId="23" fillId="38" borderId="25" xfId="0" applyNumberFormat="1" applyFont="1" applyFill="1" applyBorder="1" applyAlignment="1" applyProtection="1">
      <alignment horizontal="right"/>
      <protection locked="0"/>
    </xf>
    <xf numFmtId="0" fontId="23" fillId="38" borderId="27" xfId="0" applyFont="1" applyFill="1" applyBorder="1" applyAlignment="1" applyProtection="1">
      <alignment horizontal="right"/>
      <protection locked="0"/>
    </xf>
    <xf numFmtId="1" fontId="29" fillId="41" borderId="28" xfId="0" applyNumberFormat="1" applyFont="1" applyFill="1" applyBorder="1" applyAlignment="1">
      <alignment horizontal="left"/>
    </xf>
    <xf numFmtId="1" fontId="29" fillId="41" borderId="29" xfId="0" applyNumberFormat="1" applyFont="1" applyFill="1" applyBorder="1" applyAlignment="1">
      <alignment horizontal="left"/>
    </xf>
    <xf numFmtId="0" fontId="29" fillId="41" borderId="29" xfId="0" applyFont="1" applyFill="1" applyBorder="1" applyAlignment="1">
      <alignment horizontal="left"/>
    </xf>
    <xf numFmtId="0" fontId="29" fillId="41" borderId="30" xfId="0" applyFont="1" applyFill="1" applyBorder="1" applyAlignment="1">
      <alignment horizontal="left"/>
    </xf>
    <xf numFmtId="1" fontId="29" fillId="41" borderId="31" xfId="0" applyNumberFormat="1" applyFont="1" applyFill="1" applyBorder="1" applyAlignment="1">
      <alignment horizontal="left"/>
    </xf>
    <xf numFmtId="1" fontId="29" fillId="41" borderId="0" xfId="0" applyNumberFormat="1" applyFont="1" applyFill="1" applyBorder="1" applyAlignment="1">
      <alignment horizontal="left"/>
    </xf>
    <xf numFmtId="0" fontId="29" fillId="41" borderId="0" xfId="0" applyFont="1" applyFill="1" applyBorder="1" applyAlignment="1">
      <alignment horizontal="left"/>
    </xf>
    <xf numFmtId="0" fontId="29" fillId="41" borderId="32" xfId="0" applyFont="1" applyFill="1" applyBorder="1" applyAlignment="1">
      <alignment horizontal="left"/>
    </xf>
    <xf numFmtId="0" fontId="29" fillId="41" borderId="31" xfId="0" applyFont="1" applyFill="1" applyBorder="1" applyAlignment="1">
      <alignment horizontal="left"/>
    </xf>
    <xf numFmtId="0" fontId="29" fillId="41" borderId="33" xfId="0" applyFont="1" applyFill="1" applyBorder="1" applyAlignment="1">
      <alignment horizontal="left"/>
    </xf>
    <xf numFmtId="0" fontId="29" fillId="41" borderId="34" xfId="0" applyFont="1" applyFill="1" applyBorder="1" applyAlignment="1">
      <alignment horizontal="left"/>
    </xf>
    <xf numFmtId="0" fontId="29" fillId="41" borderId="35" xfId="0" applyFont="1" applyFill="1" applyBorder="1" applyAlignment="1">
      <alignment horizontal="left"/>
    </xf>
    <xf numFmtId="174" fontId="19" fillId="2" borderId="12" xfId="0" applyNumberFormat="1" applyFont="1" applyBorder="1" applyAlignment="1" applyProtection="1">
      <alignment horizontal="center"/>
      <protection/>
    </xf>
    <xf numFmtId="0" fontId="19" fillId="2" borderId="12" xfId="0" applyFont="1" applyBorder="1" applyAlignment="1" applyProtection="1">
      <alignment horizontal="center"/>
      <protection/>
    </xf>
    <xf numFmtId="0" fontId="19" fillId="2" borderId="12" xfId="0" applyFont="1" applyBorder="1" applyAlignment="1">
      <alignment horizontal="center"/>
    </xf>
    <xf numFmtId="0" fontId="19" fillId="2" borderId="15" xfId="0" applyFont="1" applyBorder="1" applyAlignment="1">
      <alignment horizontal="center"/>
    </xf>
    <xf numFmtId="1" fontId="7" fillId="34" borderId="19" xfId="0" applyNumberFormat="1" applyFont="1" applyFill="1" applyBorder="1" applyAlignment="1">
      <alignment horizontal="center"/>
    </xf>
    <xf numFmtId="1" fontId="11" fillId="34" borderId="22" xfId="0" applyNumberFormat="1" applyFont="1" applyFill="1" applyBorder="1" applyAlignment="1">
      <alignment horizontal="center"/>
    </xf>
    <xf numFmtId="1" fontId="7" fillId="34" borderId="0" xfId="0" applyNumberFormat="1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3" fillId="2" borderId="0" xfId="0" applyFont="1" applyAlignment="1">
      <alignment/>
    </xf>
    <xf numFmtId="0" fontId="16" fillId="2" borderId="0" xfId="0" applyFont="1" applyAlignment="1" applyProtection="1">
      <alignment/>
      <protection locked="0"/>
    </xf>
    <xf numFmtId="0" fontId="17" fillId="2" borderId="0" xfId="0" applyFont="1" applyAlignment="1" applyProtection="1">
      <alignment/>
      <protection locked="0"/>
    </xf>
    <xf numFmtId="177" fontId="1" fillId="2" borderId="0" xfId="0" applyNumberFormat="1" applyFont="1" applyAlignment="1" applyProtection="1">
      <alignment/>
      <protection locked="0"/>
    </xf>
    <xf numFmtId="177" fontId="8" fillId="2" borderId="0" xfId="0" applyNumberFormat="1" applyFont="1" applyAlignment="1" applyProtection="1">
      <alignment/>
      <protection locked="0"/>
    </xf>
    <xf numFmtId="0" fontId="4" fillId="2" borderId="0" xfId="0" applyFont="1" applyAlignment="1" applyProtection="1">
      <alignment/>
      <protection locked="0"/>
    </xf>
    <xf numFmtId="0" fontId="1" fillId="2" borderId="0" xfId="0" applyFont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177" fontId="4" fillId="2" borderId="0" xfId="0" applyNumberFormat="1" applyFont="1" applyAlignment="1" applyProtection="1">
      <alignment/>
      <protection locked="0"/>
    </xf>
    <xf numFmtId="1" fontId="4" fillId="2" borderId="0" xfId="0" applyNumberFormat="1" applyFont="1" applyFill="1" applyAlignment="1" applyProtection="1">
      <alignment/>
      <protection locked="0"/>
    </xf>
    <xf numFmtId="1" fontId="1" fillId="2" borderId="0" xfId="0" applyNumberFormat="1" applyFont="1" applyAlignment="1" applyProtection="1">
      <alignment/>
      <protection locked="0"/>
    </xf>
    <xf numFmtId="0" fontId="1" fillId="38" borderId="15" xfId="0" applyFont="1" applyFill="1" applyBorder="1" applyAlignment="1" applyProtection="1">
      <alignment horizontal="center"/>
      <protection locked="0"/>
    </xf>
    <xf numFmtId="0" fontId="1" fillId="2" borderId="20" xfId="0" applyFont="1" applyBorder="1" applyAlignment="1">
      <alignment/>
    </xf>
    <xf numFmtId="0" fontId="1" fillId="2" borderId="23" xfId="0" applyFont="1" applyBorder="1" applyAlignment="1">
      <alignment/>
    </xf>
    <xf numFmtId="0" fontId="1" fillId="2" borderId="21" xfId="0" applyFont="1" applyBorder="1" applyAlignment="1">
      <alignment/>
    </xf>
    <xf numFmtId="178" fontId="25" fillId="34" borderId="11" xfId="0" applyNumberFormat="1" applyFont="1" applyFill="1" applyBorder="1" applyAlignment="1">
      <alignment horizontal="center"/>
    </xf>
    <xf numFmtId="178" fontId="25" fillId="2" borderId="11" xfId="0" applyNumberFormat="1" applyFont="1" applyBorder="1" applyAlignment="1">
      <alignment horizontal="center"/>
    </xf>
    <xf numFmtId="2" fontId="11" fillId="2" borderId="15" xfId="0" applyNumberFormat="1" applyFont="1" applyBorder="1" applyAlignment="1">
      <alignment/>
    </xf>
    <xf numFmtId="2" fontId="11" fillId="2" borderId="15" xfId="0" applyNumberFormat="1" applyFont="1" applyBorder="1" applyAlignment="1">
      <alignment/>
    </xf>
    <xf numFmtId="2" fontId="11" fillId="2" borderId="15" xfId="0" applyNumberFormat="1" applyFont="1" applyFill="1" applyBorder="1" applyAlignment="1">
      <alignment/>
    </xf>
    <xf numFmtId="0" fontId="0" fillId="2" borderId="0" xfId="0" applyAlignment="1">
      <alignment horizontal="center"/>
    </xf>
    <xf numFmtId="0" fontId="1" fillId="2" borderId="28" xfId="0" applyFont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" fontId="7" fillId="37" borderId="13" xfId="0" applyNumberFormat="1" applyFont="1" applyFill="1" applyBorder="1" applyAlignment="1" applyProtection="1">
      <alignment horizontal="center"/>
      <protection locked="0"/>
    </xf>
    <xf numFmtId="1" fontId="7" fillId="37" borderId="16" xfId="0" applyNumberFormat="1" applyFont="1" applyFill="1" applyBorder="1" applyAlignment="1" applyProtection="1">
      <alignment horizontal="center"/>
      <protection locked="0"/>
    </xf>
    <xf numFmtId="1" fontId="7" fillId="37" borderId="14" xfId="0" applyNumberFormat="1" applyFont="1" applyFill="1" applyBorder="1" applyAlignment="1" applyProtection="1">
      <alignment horizontal="center"/>
      <protection locked="0"/>
    </xf>
    <xf numFmtId="1" fontId="7" fillId="37" borderId="36" xfId="0" applyNumberFormat="1" applyFont="1" applyFill="1" applyBorder="1" applyAlignment="1" applyProtection="1">
      <alignment horizontal="center"/>
      <protection locked="0"/>
    </xf>
    <xf numFmtId="1" fontId="11" fillId="35" borderId="18" xfId="0" applyNumberFormat="1" applyFont="1" applyFill="1" applyBorder="1" applyAlignment="1" applyProtection="1">
      <alignment horizontal="center"/>
      <protection locked="0"/>
    </xf>
    <xf numFmtId="1" fontId="11" fillId="35" borderId="0" xfId="0" applyNumberFormat="1" applyFont="1" applyFill="1" applyBorder="1" applyAlignment="1" applyProtection="1">
      <alignment horizontal="center"/>
      <protection locked="0"/>
    </xf>
    <xf numFmtId="1" fontId="11" fillId="35" borderId="10" xfId="0" applyNumberFormat="1" applyFont="1" applyFill="1" applyBorder="1" applyAlignment="1" applyProtection="1">
      <alignment horizontal="center"/>
      <protection locked="0"/>
    </xf>
    <xf numFmtId="1" fontId="11" fillId="35" borderId="11" xfId="0" applyNumberFormat="1" applyFont="1" applyFill="1" applyBorder="1" applyAlignment="1" applyProtection="1">
      <alignment horizontal="center"/>
      <protection locked="0"/>
    </xf>
    <xf numFmtId="177" fontId="8" fillId="0" borderId="18" xfId="0" applyNumberFormat="1" applyFont="1" applyFill="1" applyBorder="1" applyAlignment="1">
      <alignment horizontal="center"/>
    </xf>
    <xf numFmtId="177" fontId="8" fillId="0" borderId="10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 horizontal="center"/>
    </xf>
    <xf numFmtId="177" fontId="8" fillId="0" borderId="11" xfId="0" applyNumberFormat="1" applyFont="1" applyFill="1" applyBorder="1" applyAlignment="1">
      <alignment horizontal="center"/>
    </xf>
    <xf numFmtId="177" fontId="1" fillId="2" borderId="23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Border="1" applyAlignment="1" applyProtection="1">
      <alignment horizontal="center"/>
      <protection locked="0"/>
    </xf>
    <xf numFmtId="0" fontId="4" fillId="2" borderId="0" xfId="0" applyFont="1" applyAlignment="1" applyProtection="1">
      <alignment horizontal="center"/>
      <protection locked="0"/>
    </xf>
    <xf numFmtId="177" fontId="4" fillId="0" borderId="20" xfId="0" applyNumberFormat="1" applyFont="1" applyFill="1" applyBorder="1" applyAlignment="1" applyProtection="1">
      <alignment horizontal="center"/>
      <protection locked="0"/>
    </xf>
    <xf numFmtId="177" fontId="4" fillId="0" borderId="21" xfId="0" applyNumberFormat="1" applyFont="1" applyFill="1" applyBorder="1" applyAlignment="1" applyProtection="1">
      <alignment horizontal="center"/>
      <protection locked="0"/>
    </xf>
    <xf numFmtId="177" fontId="4" fillId="0" borderId="23" xfId="0" applyNumberFormat="1" applyFont="1" applyFill="1" applyBorder="1" applyAlignment="1" applyProtection="1">
      <alignment horizontal="center"/>
      <protection locked="0"/>
    </xf>
    <xf numFmtId="177" fontId="13" fillId="0" borderId="13" xfId="0" applyNumberFormat="1" applyFont="1" applyFill="1" applyBorder="1" applyAlignment="1" applyProtection="1">
      <alignment horizontal="center"/>
      <protection locked="0"/>
    </xf>
    <xf numFmtId="177" fontId="13" fillId="0" borderId="16" xfId="0" applyNumberFormat="1" applyFont="1" applyFill="1" applyBorder="1" applyAlignment="1" applyProtection="1">
      <alignment horizontal="center"/>
      <protection locked="0"/>
    </xf>
    <xf numFmtId="177" fontId="13" fillId="0" borderId="36" xfId="0" applyNumberFormat="1" applyFont="1" applyFill="1" applyBorder="1" applyAlignment="1" applyProtection="1">
      <alignment horizontal="center"/>
      <protection locked="0"/>
    </xf>
    <xf numFmtId="177" fontId="13" fillId="0" borderId="18" xfId="0" applyNumberFormat="1" applyFont="1" applyFill="1" applyBorder="1" applyAlignment="1" applyProtection="1">
      <alignment horizontal="center"/>
      <protection locked="0"/>
    </xf>
    <xf numFmtId="177" fontId="13" fillId="0" borderId="0" xfId="0" applyNumberFormat="1" applyFont="1" applyFill="1" applyBorder="1" applyAlignment="1" applyProtection="1">
      <alignment horizontal="center"/>
      <protection locked="0"/>
    </xf>
    <xf numFmtId="177" fontId="13" fillId="0" borderId="11" xfId="0" applyNumberFormat="1" applyFont="1" applyFill="1" applyBorder="1" applyAlignment="1" applyProtection="1">
      <alignment horizontal="center"/>
      <protection locked="0"/>
    </xf>
    <xf numFmtId="177" fontId="13" fillId="0" borderId="19" xfId="0" applyNumberFormat="1" applyFont="1" applyFill="1" applyBorder="1" applyAlignment="1" applyProtection="1">
      <alignment horizontal="center"/>
      <protection locked="0"/>
    </xf>
    <xf numFmtId="177" fontId="13" fillId="0" borderId="17" xfId="0" applyNumberFormat="1" applyFont="1" applyFill="1" applyBorder="1" applyAlignment="1" applyProtection="1">
      <alignment horizontal="center"/>
      <protection locked="0"/>
    </xf>
    <xf numFmtId="177" fontId="13" fillId="0" borderId="12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174" fontId="1" fillId="2" borderId="0" xfId="0" applyNumberFormat="1" applyFont="1" applyFill="1" applyBorder="1" applyAlignment="1" applyProtection="1">
      <alignment horizontal="center"/>
      <protection locked="0"/>
    </xf>
    <xf numFmtId="177" fontId="1" fillId="0" borderId="13" xfId="0" applyNumberFormat="1" applyFont="1" applyFill="1" applyBorder="1" applyAlignment="1" applyProtection="1">
      <alignment horizontal="center"/>
      <protection locked="0"/>
    </xf>
    <xf numFmtId="177" fontId="1" fillId="0" borderId="16" xfId="0" applyNumberFormat="1" applyFont="1" applyFill="1" applyBorder="1" applyAlignment="1" applyProtection="1">
      <alignment horizontal="center"/>
      <protection locked="0"/>
    </xf>
    <xf numFmtId="177" fontId="1" fillId="0" borderId="14" xfId="0" applyNumberFormat="1" applyFont="1" applyFill="1" applyBorder="1" applyAlignment="1" applyProtection="1">
      <alignment horizontal="center"/>
      <protection locked="0"/>
    </xf>
    <xf numFmtId="177" fontId="4" fillId="0" borderId="19" xfId="0" applyNumberFormat="1" applyFont="1" applyFill="1" applyBorder="1" applyAlignment="1" applyProtection="1">
      <alignment horizontal="center"/>
      <protection locked="0"/>
    </xf>
    <xf numFmtId="177" fontId="4" fillId="0" borderId="22" xfId="0" applyNumberFormat="1" applyFont="1" applyFill="1" applyBorder="1" applyAlignment="1" applyProtection="1">
      <alignment horizontal="center"/>
      <protection locked="0"/>
    </xf>
    <xf numFmtId="177" fontId="4" fillId="0" borderId="17" xfId="0" applyNumberFormat="1" applyFont="1" applyFill="1" applyBorder="1" applyAlignment="1" applyProtection="1">
      <alignment horizontal="center"/>
      <protection locked="0"/>
    </xf>
    <xf numFmtId="1" fontId="4" fillId="2" borderId="0" xfId="0" applyNumberFormat="1" applyFont="1" applyFill="1" applyBorder="1" applyAlignment="1" applyProtection="1">
      <alignment horizontal="center"/>
      <protection locked="0"/>
    </xf>
    <xf numFmtId="178" fontId="4" fillId="0" borderId="13" xfId="0" applyNumberFormat="1" applyFont="1" applyFill="1" applyBorder="1" applyAlignment="1" applyProtection="1">
      <alignment horizontal="center"/>
      <protection locked="0"/>
    </xf>
    <xf numFmtId="178" fontId="4" fillId="0" borderId="14" xfId="0" applyNumberFormat="1" applyFont="1" applyFill="1" applyBorder="1" applyAlignment="1" applyProtection="1">
      <alignment horizontal="center"/>
      <protection locked="0"/>
    </xf>
    <xf numFmtId="178" fontId="4" fillId="0" borderId="36" xfId="0" applyNumberFormat="1" applyFont="1" applyFill="1" applyBorder="1" applyAlignment="1" applyProtection="1">
      <alignment horizontal="center"/>
      <protection locked="0"/>
    </xf>
    <xf numFmtId="1" fontId="4" fillId="0" borderId="19" xfId="0" applyNumberFormat="1" applyFont="1" applyFill="1" applyBorder="1" applyAlignment="1" applyProtection="1">
      <alignment horizontal="center"/>
      <protection locked="0"/>
    </xf>
    <xf numFmtId="177" fontId="1" fillId="0" borderId="22" xfId="0" applyNumberFormat="1" applyFont="1" applyFill="1" applyBorder="1" applyAlignment="1" applyProtection="1">
      <alignment horizontal="center"/>
      <protection locked="0"/>
    </xf>
    <xf numFmtId="177" fontId="1" fillId="0" borderId="19" xfId="0" applyNumberFormat="1" applyFont="1" applyFill="1" applyBorder="1" applyAlignment="1" applyProtection="1">
      <alignment horizontal="center"/>
      <protection locked="0"/>
    </xf>
    <xf numFmtId="177" fontId="1" fillId="0" borderId="12" xfId="0" applyNumberFormat="1" applyFont="1" applyFill="1" applyBorder="1" applyAlignment="1" applyProtection="1">
      <alignment horizontal="center"/>
      <protection locked="0"/>
    </xf>
    <xf numFmtId="177" fontId="26" fillId="34" borderId="0" xfId="0" applyNumberFormat="1" applyFont="1" applyFill="1" applyAlignment="1">
      <alignment horizontal="center"/>
    </xf>
    <xf numFmtId="177" fontId="26" fillId="2" borderId="0" xfId="0" applyNumberFormat="1" applyFont="1" applyAlignment="1">
      <alignment horizontal="center"/>
    </xf>
    <xf numFmtId="175" fontId="26" fillId="34" borderId="0" xfId="0" applyNumberFormat="1" applyFont="1" applyFill="1" applyBorder="1" applyAlignment="1" applyProtection="1">
      <alignment horizontal="center"/>
      <protection/>
    </xf>
    <xf numFmtId="175" fontId="26" fillId="34" borderId="18" xfId="0" applyNumberFormat="1" applyFont="1" applyFill="1" applyBorder="1" applyAlignment="1" applyProtection="1">
      <alignment horizontal="center"/>
      <protection/>
    </xf>
    <xf numFmtId="177" fontId="26" fillId="34" borderId="14" xfId="0" applyNumberFormat="1" applyFont="1" applyFill="1" applyBorder="1" applyAlignment="1">
      <alignment horizontal="center"/>
    </xf>
    <xf numFmtId="177" fontId="26" fillId="34" borderId="18" xfId="0" applyNumberFormat="1" applyFont="1" applyFill="1" applyBorder="1" applyAlignment="1">
      <alignment horizontal="center"/>
    </xf>
    <xf numFmtId="177" fontId="26" fillId="34" borderId="0" xfId="0" applyNumberFormat="1" applyFont="1" applyFill="1" applyBorder="1" applyAlignment="1">
      <alignment horizontal="center"/>
    </xf>
    <xf numFmtId="177" fontId="26" fillId="34" borderId="10" xfId="0" applyNumberFormat="1" applyFont="1" applyFill="1" applyBorder="1" applyAlignment="1">
      <alignment horizontal="center"/>
    </xf>
    <xf numFmtId="175" fontId="26" fillId="2" borderId="0" xfId="0" applyNumberFormat="1" applyFont="1" applyFill="1" applyBorder="1" applyAlignment="1" applyProtection="1">
      <alignment horizontal="center"/>
      <protection/>
    </xf>
    <xf numFmtId="175" fontId="26" fillId="2" borderId="18" xfId="0" applyNumberFormat="1" applyFont="1" applyFill="1" applyBorder="1" applyAlignment="1" applyProtection="1">
      <alignment horizontal="center"/>
      <protection/>
    </xf>
    <xf numFmtId="177" fontId="26" fillId="2" borderId="10" xfId="0" applyNumberFormat="1" applyFont="1" applyBorder="1" applyAlignment="1">
      <alignment horizontal="center"/>
    </xf>
    <xf numFmtId="177" fontId="26" fillId="2" borderId="18" xfId="0" applyNumberFormat="1" applyFont="1" applyFill="1" applyBorder="1" applyAlignment="1">
      <alignment horizontal="center"/>
    </xf>
    <xf numFmtId="177" fontId="26" fillId="2" borderId="0" xfId="0" applyNumberFormat="1" applyFont="1" applyFill="1" applyBorder="1" applyAlignment="1">
      <alignment horizontal="center"/>
    </xf>
    <xf numFmtId="177" fontId="26" fillId="2" borderId="10" xfId="0" applyNumberFormat="1" applyFont="1" applyFill="1" applyBorder="1" applyAlignment="1">
      <alignment horizontal="center"/>
    </xf>
    <xf numFmtId="175" fontId="26" fillId="34" borderId="22" xfId="0" applyNumberFormat="1" applyFont="1" applyFill="1" applyBorder="1" applyAlignment="1" applyProtection="1">
      <alignment horizontal="center"/>
      <protection/>
    </xf>
    <xf numFmtId="175" fontId="26" fillId="34" borderId="19" xfId="0" applyNumberFormat="1" applyFont="1" applyFill="1" applyBorder="1" applyAlignment="1" applyProtection="1">
      <alignment horizontal="center"/>
      <protection/>
    </xf>
    <xf numFmtId="177" fontId="26" fillId="34" borderId="22" xfId="0" applyNumberFormat="1" applyFont="1" applyFill="1" applyBorder="1" applyAlignment="1">
      <alignment horizontal="center"/>
    </xf>
    <xf numFmtId="174" fontId="24" fillId="34" borderId="18" xfId="0" applyNumberFormat="1" applyFont="1" applyFill="1" applyBorder="1" applyAlignment="1" applyProtection="1">
      <alignment horizontal="right"/>
      <protection/>
    </xf>
    <xf numFmtId="174" fontId="24" fillId="2" borderId="18" xfId="0" applyNumberFormat="1" applyFont="1" applyFill="1" applyBorder="1" applyAlignment="1" applyProtection="1">
      <alignment horizontal="right"/>
      <protection/>
    </xf>
    <xf numFmtId="174" fontId="24" fillId="34" borderId="19" xfId="0" applyNumberFormat="1" applyFont="1" applyFill="1" applyBorder="1" applyAlignment="1" applyProtection="1">
      <alignment horizontal="right"/>
      <protection/>
    </xf>
    <xf numFmtId="0" fontId="0" fillId="2" borderId="20" xfId="0" applyBorder="1" applyAlignment="1">
      <alignment/>
    </xf>
    <xf numFmtId="0" fontId="0" fillId="2" borderId="21" xfId="0" applyBorder="1" applyAlignment="1">
      <alignment/>
    </xf>
    <xf numFmtId="177" fontId="13" fillId="0" borderId="22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/>
    </xf>
    <xf numFmtId="0" fontId="30" fillId="2" borderId="0" xfId="0" applyFont="1" applyAlignment="1">
      <alignment/>
    </xf>
    <xf numFmtId="0" fontId="31" fillId="36" borderId="0" xfId="0" applyFont="1" applyFill="1" applyAlignment="1" applyProtection="1">
      <alignment horizontal="left"/>
      <protection/>
    </xf>
    <xf numFmtId="0" fontId="32" fillId="36" borderId="0" xfId="0" applyFont="1" applyFill="1" applyAlignment="1" applyProtection="1">
      <alignment horizontal="left"/>
      <protection/>
    </xf>
    <xf numFmtId="0" fontId="32" fillId="36" borderId="0" xfId="0" applyFont="1" applyFill="1" applyAlignment="1">
      <alignment/>
    </xf>
    <xf numFmtId="0" fontId="32" fillId="2" borderId="0" xfId="0" applyFont="1" applyAlignment="1">
      <alignment/>
    </xf>
    <xf numFmtId="0" fontId="31" fillId="40" borderId="0" xfId="0" applyFont="1" applyFill="1" applyAlignment="1">
      <alignment/>
    </xf>
    <xf numFmtId="0" fontId="32" fillId="40" borderId="0" xfId="0" applyFont="1" applyFill="1" applyAlignment="1" applyProtection="1">
      <alignment horizontal="left"/>
      <protection/>
    </xf>
    <xf numFmtId="0" fontId="32" fillId="2" borderId="0" xfId="0" applyFont="1" applyFill="1" applyAlignment="1" applyProtection="1">
      <alignment horizontal="left"/>
      <protection/>
    </xf>
    <xf numFmtId="0" fontId="33" fillId="38" borderId="0" xfId="0" applyFont="1" applyFill="1" applyAlignment="1" applyProtection="1">
      <alignment horizontal="left"/>
      <protection/>
    </xf>
    <xf numFmtId="0" fontId="19" fillId="2" borderId="0" xfId="0" applyFont="1" applyAlignment="1">
      <alignment/>
    </xf>
    <xf numFmtId="0" fontId="34" fillId="2" borderId="0" xfId="0" applyFont="1" applyAlignment="1">
      <alignment/>
    </xf>
    <xf numFmtId="0" fontId="0" fillId="2" borderId="0" xfId="0" applyFont="1" applyAlignment="1">
      <alignment/>
    </xf>
    <xf numFmtId="0" fontId="12" fillId="2" borderId="0" xfId="0" applyFont="1" applyAlignment="1">
      <alignment/>
    </xf>
    <xf numFmtId="0" fontId="35" fillId="2" borderId="0" xfId="0" applyFont="1" applyAlignment="1" applyProtection="1">
      <alignment horizontal="left"/>
      <protection/>
    </xf>
    <xf numFmtId="0" fontId="12" fillId="2" borderId="0" xfId="0" applyFont="1" applyAlignment="1" applyProtection="1">
      <alignment horizontal="left"/>
      <protection/>
    </xf>
    <xf numFmtId="0" fontId="12" fillId="2" borderId="0" xfId="0" applyFont="1" applyAlignment="1" applyProtection="1">
      <alignment/>
      <protection/>
    </xf>
    <xf numFmtId="0" fontId="26" fillId="42" borderId="13" xfId="0" applyFont="1" applyFill="1" applyBorder="1" applyAlignment="1" applyProtection="1">
      <alignment horizontal="center"/>
      <protection/>
    </xf>
    <xf numFmtId="0" fontId="26" fillId="42" borderId="16" xfId="0" applyFont="1" applyFill="1" applyBorder="1" applyAlignment="1" applyProtection="1">
      <alignment horizontal="center"/>
      <protection/>
    </xf>
    <xf numFmtId="0" fontId="26" fillId="42" borderId="13" xfId="0" applyFont="1" applyFill="1" applyBorder="1" applyAlignment="1" applyProtection="1">
      <alignment horizontal="right"/>
      <protection/>
    </xf>
    <xf numFmtId="0" fontId="26" fillId="42" borderId="14" xfId="0" applyFont="1" applyFill="1" applyBorder="1" applyAlignment="1" applyProtection="1">
      <alignment horizontal="center"/>
      <protection/>
    </xf>
    <xf numFmtId="0" fontId="26" fillId="42" borderId="20" xfId="0" applyFont="1" applyFill="1" applyBorder="1" applyAlignment="1" applyProtection="1">
      <alignment horizontal="left"/>
      <protection/>
    </xf>
    <xf numFmtId="174" fontId="26" fillId="42" borderId="21" xfId="0" applyNumberFormat="1" applyFont="1" applyFill="1" applyBorder="1" applyAlignment="1" applyProtection="1">
      <alignment horizontal="center"/>
      <protection/>
    </xf>
    <xf numFmtId="0" fontId="0" fillId="42" borderId="36" xfId="0" applyFont="1" applyFill="1" applyBorder="1" applyAlignment="1">
      <alignment/>
    </xf>
    <xf numFmtId="0" fontId="26" fillId="42" borderId="13" xfId="0" applyFont="1" applyFill="1" applyBorder="1" applyAlignment="1">
      <alignment horizontal="center"/>
    </xf>
    <xf numFmtId="0" fontId="26" fillId="42" borderId="14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19" xfId="0" applyFont="1" applyFill="1" applyBorder="1" applyAlignment="1" applyProtection="1">
      <alignment horizontal="center"/>
      <protection/>
    </xf>
    <xf numFmtId="0" fontId="26" fillId="42" borderId="22" xfId="0" applyFont="1" applyFill="1" applyBorder="1" applyAlignment="1" applyProtection="1">
      <alignment horizontal="center"/>
      <protection/>
    </xf>
    <xf numFmtId="172" fontId="26" fillId="42" borderId="22" xfId="0" applyNumberFormat="1" applyFont="1" applyFill="1" applyBorder="1" applyAlignment="1" applyProtection="1">
      <alignment horizontal="center"/>
      <protection/>
    </xf>
    <xf numFmtId="0" fontId="26" fillId="42" borderId="17" xfId="0" applyFont="1" applyFill="1" applyBorder="1" applyAlignment="1">
      <alignment horizontal="center"/>
    </xf>
    <xf numFmtId="0" fontId="26" fillId="42" borderId="22" xfId="0" applyFont="1" applyFill="1" applyBorder="1" applyAlignment="1">
      <alignment horizontal="center"/>
    </xf>
    <xf numFmtId="0" fontId="26" fillId="42" borderId="12" xfId="0" applyFont="1" applyFill="1" applyBorder="1" applyAlignment="1">
      <alignment horizontal="center"/>
    </xf>
    <xf numFmtId="0" fontId="26" fillId="42" borderId="18" xfId="0" applyFont="1" applyFill="1" applyBorder="1" applyAlignment="1" applyProtection="1">
      <alignment horizontal="center"/>
      <protection/>
    </xf>
    <xf numFmtId="174" fontId="36" fillId="43" borderId="23" xfId="0" applyNumberFormat="1" applyFont="1" applyFill="1" applyBorder="1" applyAlignment="1" applyProtection="1">
      <alignment horizontal="center"/>
      <protection/>
    </xf>
    <xf numFmtId="0" fontId="26" fillId="42" borderId="0" xfId="0" applyFont="1" applyFill="1" applyBorder="1" applyAlignment="1" applyProtection="1">
      <alignment horizontal="center"/>
      <protection/>
    </xf>
    <xf numFmtId="175" fontId="24" fillId="34" borderId="40" xfId="0" applyNumberFormat="1" applyFont="1" applyFill="1" applyBorder="1" applyAlignment="1" applyProtection="1">
      <alignment horizontal="center"/>
      <protection/>
    </xf>
    <xf numFmtId="175" fontId="24" fillId="2" borderId="41" xfId="0" applyNumberFormat="1" applyFont="1" applyFill="1" applyBorder="1" applyAlignment="1" applyProtection="1">
      <alignment horizontal="center"/>
      <protection/>
    </xf>
    <xf numFmtId="175" fontId="24" fillId="34" borderId="41" xfId="0" applyNumberFormat="1" applyFont="1" applyFill="1" applyBorder="1" applyAlignment="1" applyProtection="1">
      <alignment horizontal="center"/>
      <protection/>
    </xf>
    <xf numFmtId="175" fontId="24" fillId="34" borderId="42" xfId="0" applyNumberFormat="1" applyFont="1" applyFill="1" applyBorder="1" applyAlignment="1" applyProtection="1">
      <alignment horizontal="center"/>
      <protection/>
    </xf>
    <xf numFmtId="175" fontId="24" fillId="0" borderId="41" xfId="0" applyNumberFormat="1" applyFont="1" applyFill="1" applyBorder="1" applyAlignment="1" applyProtection="1">
      <alignment horizontal="center"/>
      <protection/>
    </xf>
    <xf numFmtId="175" fontId="24" fillId="44" borderId="41" xfId="0" applyNumberFormat="1" applyFont="1" applyFill="1" applyBorder="1" applyAlignment="1" applyProtection="1">
      <alignment horizontal="center"/>
      <protection/>
    </xf>
    <xf numFmtId="174" fontId="24" fillId="34" borderId="40" xfId="0" applyNumberFormat="1" applyFont="1" applyFill="1" applyBorder="1" applyAlignment="1" applyProtection="1">
      <alignment horizontal="right"/>
      <protection/>
    </xf>
    <xf numFmtId="174" fontId="24" fillId="2" borderId="41" xfId="0" applyNumberFormat="1" applyFont="1" applyFill="1" applyBorder="1" applyAlignment="1" applyProtection="1">
      <alignment horizontal="right"/>
      <protection/>
    </xf>
    <xf numFmtId="174" fontId="24" fillId="34" borderId="41" xfId="0" applyNumberFormat="1" applyFont="1" applyFill="1" applyBorder="1" applyAlignment="1" applyProtection="1">
      <alignment horizontal="right"/>
      <protection/>
    </xf>
    <xf numFmtId="174" fontId="24" fillId="34" borderId="42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180975</xdr:rowOff>
    </xdr:from>
    <xdr:to>
      <xdr:col>10</xdr:col>
      <xdr:colOff>66675</xdr:colOff>
      <xdr:row>25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80975"/>
          <a:ext cx="2819400" cy="502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238125</xdr:rowOff>
    </xdr:from>
    <xdr:to>
      <xdr:col>10</xdr:col>
      <xdr:colOff>171450</xdr:colOff>
      <xdr:row>11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38125"/>
          <a:ext cx="23526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23"/>
  <sheetViews>
    <sheetView tabSelected="1" zoomScale="75" zoomScaleNormal="75" zoomScalePageLayoutView="0" workbookViewId="0" topLeftCell="A1">
      <selection activeCell="B3" sqref="B3"/>
    </sheetView>
  </sheetViews>
  <sheetFormatPr defaultColWidth="10.625" defaultRowHeight="12.75"/>
  <cols>
    <col min="1" max="1" width="18.375" style="277" customWidth="1"/>
    <col min="2" max="2" width="13.125" style="0" customWidth="1"/>
    <col min="3" max="3" width="0.875" style="0" customWidth="1"/>
    <col min="4" max="4" width="5.875" style="0" customWidth="1"/>
    <col min="5" max="5" width="4.875" style="0" customWidth="1"/>
    <col min="6" max="6" width="6.125" style="0" customWidth="1"/>
    <col min="7" max="7" width="6.625" style="0" customWidth="1"/>
    <col min="8" max="8" width="8.375" style="0" customWidth="1"/>
    <col min="9" max="9" width="6.875" style="0" customWidth="1"/>
    <col min="10" max="10" width="4.875" style="0" customWidth="1"/>
    <col min="11" max="11" width="5.75390625" style="0" customWidth="1"/>
    <col min="12" max="12" width="5.25390625" style="0" customWidth="1"/>
    <col min="13" max="13" width="4.375" style="0" customWidth="1"/>
    <col min="14" max="17" width="5.875" style="0" customWidth="1"/>
    <col min="18" max="18" width="6.50390625" style="0" customWidth="1"/>
    <col min="19" max="19" width="6.25390625" style="0" customWidth="1"/>
  </cols>
  <sheetData>
    <row r="1" spans="1:18" ht="26.25">
      <c r="A1" s="276" t="s">
        <v>140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136"/>
    </row>
    <row r="2" spans="1:17" ht="16.5" thickBot="1">
      <c r="A2" s="267" t="s">
        <v>27</v>
      </c>
      <c r="B2" s="50" t="s">
        <v>75</v>
      </c>
      <c r="D2" s="282" t="s">
        <v>55</v>
      </c>
      <c r="E2" s="283" t="s">
        <v>127</v>
      </c>
      <c r="F2" s="283" t="s">
        <v>54</v>
      </c>
      <c r="G2" s="283" t="s">
        <v>56</v>
      </c>
      <c r="H2" s="283" t="s">
        <v>71</v>
      </c>
      <c r="I2" s="284" t="s">
        <v>52</v>
      </c>
      <c r="J2" s="285"/>
      <c r="K2" s="286" t="s">
        <v>128</v>
      </c>
      <c r="L2" s="299">
        <f>B21</f>
        <v>4</v>
      </c>
      <c r="M2" s="287" t="s">
        <v>101</v>
      </c>
      <c r="N2" s="288"/>
      <c r="O2" s="289" t="s">
        <v>149</v>
      </c>
      <c r="P2" s="290"/>
      <c r="Q2" s="291" t="s">
        <v>119</v>
      </c>
    </row>
    <row r="3" spans="1:20" ht="16.5" thickBot="1">
      <c r="A3" s="268" t="s">
        <v>63</v>
      </c>
      <c r="B3" s="145" t="s">
        <v>150</v>
      </c>
      <c r="D3" s="298" t="s">
        <v>44</v>
      </c>
      <c r="E3" s="293" t="s">
        <v>45</v>
      </c>
      <c r="F3" s="293" t="s">
        <v>46</v>
      </c>
      <c r="G3" s="294" t="s">
        <v>52</v>
      </c>
      <c r="H3" s="293" t="s">
        <v>139</v>
      </c>
      <c r="I3" s="298" t="s">
        <v>57</v>
      </c>
      <c r="J3" s="293" t="s">
        <v>123</v>
      </c>
      <c r="K3" s="292" t="s">
        <v>139</v>
      </c>
      <c r="L3" s="300" t="s">
        <v>57</v>
      </c>
      <c r="M3" s="295" t="s">
        <v>123</v>
      </c>
      <c r="N3" s="292" t="s">
        <v>124</v>
      </c>
      <c r="O3" s="296" t="s">
        <v>125</v>
      </c>
      <c r="P3" s="295" t="s">
        <v>126</v>
      </c>
      <c r="Q3" s="297" t="s">
        <v>147</v>
      </c>
      <c r="T3" s="265"/>
    </row>
    <row r="4" spans="1:17" ht="15.75">
      <c r="A4" s="268" t="s">
        <v>39</v>
      </c>
      <c r="B4" s="146">
        <v>0.308</v>
      </c>
      <c r="D4" s="307">
        <f>B15</f>
        <v>0</v>
      </c>
      <c r="E4" s="127">
        <f aca="true" t="shared" si="0" ref="E4:E44">TRUNC(R58+(-L58-SQRT(L58^2-4*M58*(K58-J58)))/(2*M58))</f>
        <v>2807</v>
      </c>
      <c r="F4" s="127">
        <f aca="true" t="shared" si="1" ref="F4:F44">TRUNC(E4^2*$B$13/450400.1)</f>
        <v>2711</v>
      </c>
      <c r="G4" s="244">
        <f aca="true" t="shared" si="2" ref="G4:G25">-12*T58*S58^2</f>
        <v>0</v>
      </c>
      <c r="H4" s="128">
        <f aca="true" t="shared" si="3" ref="H4:H25">G4-$B$19+(D4/100*$B$55*1.047)</f>
        <v>-2.23</v>
      </c>
      <c r="I4" s="301">
        <f>IF(D4=0,0,(H4/1.047/(D4/100)))</f>
        <v>0</v>
      </c>
      <c r="J4" s="242">
        <f>I4/3.44</f>
        <v>0</v>
      </c>
      <c r="K4" s="245">
        <f aca="true" t="shared" si="4" ref="K4:K44">ABS(($B$21*35.2)*(S58-(3*D4)/$B$12))/2</f>
        <v>0</v>
      </c>
      <c r="L4" s="301">
        <f aca="true" t="shared" si="5" ref="L4:L44">IF(K4&gt;0,SUM(K4/1.047/(D4/100)),0)</f>
        <v>0</v>
      </c>
      <c r="M4" s="246">
        <f aca="true" t="shared" si="6" ref="M4:M44">SUM(L4/3.44)</f>
        <v>0</v>
      </c>
      <c r="N4" s="247">
        <f aca="true" t="shared" si="7" ref="N4:N44">ABS(G4*0.034)</f>
        <v>0</v>
      </c>
      <c r="O4" s="248">
        <f aca="true" t="shared" si="8" ref="O4:O44">ABS(G4*0.134)</f>
        <v>0</v>
      </c>
      <c r="P4" s="249">
        <f aca="true" t="shared" si="9" ref="P4:P44">ABS(G4*0.293)</f>
        <v>0</v>
      </c>
      <c r="Q4" s="184">
        <f>(D4-0)*3/E4</f>
        <v>0</v>
      </c>
    </row>
    <row r="5" spans="1:17" ht="15.75">
      <c r="A5" s="268" t="s">
        <v>40</v>
      </c>
      <c r="B5" s="146" t="s">
        <v>152</v>
      </c>
      <c r="D5" s="308">
        <f aca="true" t="shared" si="10" ref="D5:D44">D4+$B$16</f>
        <v>100</v>
      </c>
      <c r="E5" s="130">
        <f t="shared" si="0"/>
        <v>2627</v>
      </c>
      <c r="F5" s="130">
        <f t="shared" si="1"/>
        <v>2374</v>
      </c>
      <c r="G5" s="250">
        <f t="shared" si="2"/>
        <v>-2.3213024505962987</v>
      </c>
      <c r="H5" s="131">
        <f t="shared" si="3"/>
        <v>0</v>
      </c>
      <c r="I5" s="302">
        <f aca="true" t="shared" si="11" ref="I5:I44">SUM(H5/1.047/(D5/100))</f>
        <v>0</v>
      </c>
      <c r="J5" s="243">
        <f aca="true" t="shared" si="12" ref="J5:J23">IF(D5&gt;0,ABS(SUM((H5/(D5/100))/3.44)),0)</f>
        <v>0</v>
      </c>
      <c r="K5" s="251">
        <f t="shared" si="4"/>
        <v>0.28218680574140376</v>
      </c>
      <c r="L5" s="302">
        <f t="shared" si="5"/>
        <v>0.2695193942133751</v>
      </c>
      <c r="M5" s="252">
        <f t="shared" si="6"/>
        <v>0.07834866110853927</v>
      </c>
      <c r="N5" s="253">
        <f t="shared" si="7"/>
        <v>0.07892428332027417</v>
      </c>
      <c r="O5" s="254">
        <f t="shared" si="8"/>
        <v>0.31105452837990405</v>
      </c>
      <c r="P5" s="255">
        <f t="shared" si="9"/>
        <v>0.6801416180247155</v>
      </c>
      <c r="Q5" s="185">
        <f aca="true" t="shared" si="13" ref="Q5:Q44">(((D5-D4)*3)/E5)+Q4</f>
        <v>0.11419870574800152</v>
      </c>
    </row>
    <row r="6" spans="1:17" ht="15.75">
      <c r="A6" s="268" t="s">
        <v>136</v>
      </c>
      <c r="B6" s="147">
        <v>47</v>
      </c>
      <c r="D6" s="309">
        <f t="shared" si="10"/>
        <v>200</v>
      </c>
      <c r="E6" s="127">
        <f t="shared" si="0"/>
        <v>2454</v>
      </c>
      <c r="F6" s="127">
        <f t="shared" si="1"/>
        <v>2072</v>
      </c>
      <c r="G6" s="244">
        <f t="shared" si="2"/>
        <v>-9.630521532497712</v>
      </c>
      <c r="H6" s="128">
        <f t="shared" si="3"/>
        <v>-2.7579166313051147</v>
      </c>
      <c r="I6" s="303">
        <f t="shared" si="11"/>
        <v>-1.3170566529632832</v>
      </c>
      <c r="J6" s="242">
        <f t="shared" si="12"/>
        <v>0.4008599754803946</v>
      </c>
      <c r="K6" s="245">
        <f t="shared" si="4"/>
        <v>1.0294524958313875</v>
      </c>
      <c r="L6" s="303">
        <f t="shared" si="5"/>
        <v>0.4916201030713408</v>
      </c>
      <c r="M6" s="249">
        <f t="shared" si="6"/>
        <v>0.1429128206602735</v>
      </c>
      <c r="N6" s="247">
        <f t="shared" si="7"/>
        <v>0.3274377321049222</v>
      </c>
      <c r="O6" s="248">
        <f t="shared" si="8"/>
        <v>1.2904898853546933</v>
      </c>
      <c r="P6" s="249">
        <f t="shared" si="9"/>
        <v>2.8217428090218295</v>
      </c>
      <c r="Q6" s="184">
        <f t="shared" si="13"/>
        <v>0.23644809450105775</v>
      </c>
    </row>
    <row r="7" spans="1:17" ht="15.75">
      <c r="A7" s="268" t="s">
        <v>41</v>
      </c>
      <c r="B7" s="146" t="s">
        <v>153</v>
      </c>
      <c r="D7" s="308">
        <f t="shared" si="10"/>
        <v>300</v>
      </c>
      <c r="E7" s="130">
        <f t="shared" si="0"/>
        <v>2287</v>
      </c>
      <c r="F7" s="130">
        <f t="shared" si="1"/>
        <v>1799</v>
      </c>
      <c r="G7" s="250">
        <f t="shared" si="2"/>
        <v>-22.857207048722266</v>
      </c>
      <c r="H7" s="131">
        <f t="shared" si="3"/>
        <v>-11.43329969693337</v>
      </c>
      <c r="I7" s="305">
        <f t="shared" si="11"/>
        <v>-3.640019005709446</v>
      </c>
      <c r="J7" s="243">
        <f t="shared" si="12"/>
        <v>1.1078778776098226</v>
      </c>
      <c r="K7" s="251">
        <f t="shared" si="4"/>
        <v>2.4811047686647028</v>
      </c>
      <c r="L7" s="302">
        <f t="shared" si="5"/>
        <v>0.7899091909152189</v>
      </c>
      <c r="M7" s="252">
        <f t="shared" si="6"/>
        <v>0.22962476480093574</v>
      </c>
      <c r="N7" s="253">
        <f t="shared" si="7"/>
        <v>0.7771450396565571</v>
      </c>
      <c r="O7" s="254">
        <f t="shared" si="8"/>
        <v>3.062865744528784</v>
      </c>
      <c r="P7" s="255">
        <f t="shared" si="9"/>
        <v>6.697161665275623</v>
      </c>
      <c r="Q7" s="185">
        <f t="shared" si="13"/>
        <v>0.3676243078810315</v>
      </c>
    </row>
    <row r="8" spans="1:17" ht="15.75">
      <c r="A8" s="269" t="s">
        <v>42</v>
      </c>
      <c r="B8" s="146" t="s">
        <v>154</v>
      </c>
      <c r="D8" s="309">
        <f t="shared" si="10"/>
        <v>400</v>
      </c>
      <c r="E8" s="127">
        <f t="shared" si="0"/>
        <v>2128</v>
      </c>
      <c r="F8" s="127">
        <f t="shared" si="1"/>
        <v>1558</v>
      </c>
      <c r="G8" s="244">
        <f t="shared" si="2"/>
        <v>-42.66155221318576</v>
      </c>
      <c r="H8" s="128">
        <f t="shared" si="3"/>
        <v>-26.68634241080056</v>
      </c>
      <c r="I8" s="303">
        <f t="shared" si="11"/>
        <v>-6.372097041738434</v>
      </c>
      <c r="J8" s="242">
        <f t="shared" si="12"/>
        <v>1.9394144193895755</v>
      </c>
      <c r="K8" s="245">
        <f t="shared" si="4"/>
        <v>4.528581935391441</v>
      </c>
      <c r="L8" s="303">
        <f t="shared" si="5"/>
        <v>1.0813232892529707</v>
      </c>
      <c r="M8" s="249">
        <f t="shared" si="6"/>
        <v>0.31433816548051474</v>
      </c>
      <c r="N8" s="247">
        <f t="shared" si="7"/>
        <v>1.4504927752483159</v>
      </c>
      <c r="O8" s="248">
        <f t="shared" si="8"/>
        <v>5.716647996566892</v>
      </c>
      <c r="P8" s="249">
        <f t="shared" si="9"/>
        <v>12.499834798463427</v>
      </c>
      <c r="Q8" s="184">
        <f t="shared" si="13"/>
        <v>0.508601751490054</v>
      </c>
    </row>
    <row r="9" spans="1:17" ht="16.5" thickBot="1">
      <c r="A9" s="269" t="s">
        <v>43</v>
      </c>
      <c r="B9" s="148" t="s">
        <v>151</v>
      </c>
      <c r="D9" s="308">
        <f t="shared" si="10"/>
        <v>500</v>
      </c>
      <c r="E9" s="130">
        <f t="shared" si="0"/>
        <v>1974</v>
      </c>
      <c r="F9" s="130">
        <f t="shared" si="1"/>
        <v>1340</v>
      </c>
      <c r="G9" s="250">
        <f t="shared" si="2"/>
        <v>-69.97263831030054</v>
      </c>
      <c r="H9" s="131">
        <f t="shared" si="3"/>
        <v>-49.44612605731905</v>
      </c>
      <c r="I9" s="302">
        <f t="shared" si="11"/>
        <v>-9.445296286020831</v>
      </c>
      <c r="J9" s="243">
        <f t="shared" si="12"/>
        <v>2.8747747707743634</v>
      </c>
      <c r="K9" s="251">
        <f t="shared" si="4"/>
        <v>7.252616352735443</v>
      </c>
      <c r="L9" s="302">
        <f t="shared" si="5"/>
        <v>1.3854090454126922</v>
      </c>
      <c r="M9" s="252">
        <f t="shared" si="6"/>
        <v>0.4027351876199687</v>
      </c>
      <c r="N9" s="253">
        <f t="shared" si="7"/>
        <v>2.3790697025502183</v>
      </c>
      <c r="O9" s="254">
        <f t="shared" si="8"/>
        <v>9.376333533580272</v>
      </c>
      <c r="P9" s="255">
        <f t="shared" si="9"/>
        <v>20.501983024918058</v>
      </c>
      <c r="Q9" s="185">
        <f t="shared" si="13"/>
        <v>0.6605774353806315</v>
      </c>
    </row>
    <row r="10" spans="1:17" ht="15.75">
      <c r="A10" s="270"/>
      <c r="B10" s="123"/>
      <c r="D10" s="309">
        <f t="shared" si="10"/>
        <v>600</v>
      </c>
      <c r="E10" s="127">
        <f t="shared" si="0"/>
        <v>1827</v>
      </c>
      <c r="F10" s="127">
        <f t="shared" si="1"/>
        <v>1148</v>
      </c>
      <c r="G10" s="244">
        <f t="shared" si="2"/>
        <v>-106.37310924164991</v>
      </c>
      <c r="H10" s="128">
        <f t="shared" si="3"/>
        <v>-81.29529453807213</v>
      </c>
      <c r="I10" s="306">
        <f t="shared" si="11"/>
        <v>-12.940989261074838</v>
      </c>
      <c r="J10" s="242">
        <f t="shared" si="12"/>
        <v>3.93872551056551</v>
      </c>
      <c r="K10" s="245">
        <f t="shared" si="4"/>
        <v>10.84923926880274</v>
      </c>
      <c r="L10" s="303">
        <f t="shared" si="5"/>
        <v>1.7270358594082682</v>
      </c>
      <c r="M10" s="249">
        <f t="shared" si="6"/>
        <v>0.5020453079675198</v>
      </c>
      <c r="N10" s="247">
        <f t="shared" si="7"/>
        <v>3.6166857142160973</v>
      </c>
      <c r="O10" s="248">
        <f t="shared" si="8"/>
        <v>14.25399663838109</v>
      </c>
      <c r="P10" s="249">
        <f t="shared" si="9"/>
        <v>31.167321007803423</v>
      </c>
      <c r="Q10" s="184">
        <f t="shared" si="13"/>
        <v>0.8247810478601061</v>
      </c>
    </row>
    <row r="11" spans="1:17" ht="16.5" thickBot="1">
      <c r="A11" s="271" t="s">
        <v>28</v>
      </c>
      <c r="B11" s="124"/>
      <c r="D11" s="308">
        <f t="shared" si="10"/>
        <v>700</v>
      </c>
      <c r="E11" s="130">
        <f t="shared" si="0"/>
        <v>1689</v>
      </c>
      <c r="F11" s="130">
        <f t="shared" si="1"/>
        <v>981</v>
      </c>
      <c r="G11" s="250">
        <f t="shared" si="2"/>
        <v>-153.90220892341713</v>
      </c>
      <c r="H11" s="131">
        <f t="shared" si="3"/>
        <v>-124.27309176924302</v>
      </c>
      <c r="I11" s="302">
        <f t="shared" si="11"/>
        <v>-16.956350357380682</v>
      </c>
      <c r="J11" s="243">
        <f t="shared" si="12"/>
        <v>5.160842681446969</v>
      </c>
      <c r="K11" s="251">
        <f t="shared" si="4"/>
        <v>15.486687938949485</v>
      </c>
      <c r="L11" s="302">
        <f t="shared" si="5"/>
        <v>2.1130697146881547</v>
      </c>
      <c r="M11" s="252">
        <f t="shared" si="6"/>
        <v>0.6142644519442311</v>
      </c>
      <c r="N11" s="253">
        <f t="shared" si="7"/>
        <v>5.232675103396183</v>
      </c>
      <c r="O11" s="254">
        <f t="shared" si="8"/>
        <v>20.6228959957379</v>
      </c>
      <c r="P11" s="255">
        <f t="shared" si="9"/>
        <v>45.09334721456122</v>
      </c>
      <c r="Q11" s="185">
        <f t="shared" si="13"/>
        <v>1.00240094128817</v>
      </c>
    </row>
    <row r="12" spans="1:17" ht="15.75">
      <c r="A12" s="272" t="s">
        <v>33</v>
      </c>
      <c r="B12" s="140">
        <v>2807</v>
      </c>
      <c r="D12" s="309">
        <f t="shared" si="10"/>
        <v>800</v>
      </c>
      <c r="E12" s="127">
        <f t="shared" si="0"/>
        <v>1559</v>
      </c>
      <c r="F12" s="127">
        <f t="shared" si="1"/>
        <v>836</v>
      </c>
      <c r="G12" s="244">
        <f t="shared" si="2"/>
        <v>-213.3462594595528</v>
      </c>
      <c r="H12" s="128">
        <f t="shared" si="3"/>
        <v>-179.1658398547824</v>
      </c>
      <c r="I12" s="303">
        <f t="shared" si="11"/>
        <v>-21.39038202659771</v>
      </c>
      <c r="J12" s="242">
        <f t="shared" si="12"/>
        <v>6.5103866226301745</v>
      </c>
      <c r="K12" s="245">
        <f t="shared" si="4"/>
        <v>21.002115606177803</v>
      </c>
      <c r="L12" s="303">
        <f t="shared" si="5"/>
        <v>2.5074159033163568</v>
      </c>
      <c r="M12" s="249">
        <f t="shared" si="6"/>
        <v>0.7288999718942898</v>
      </c>
      <c r="N12" s="247">
        <f t="shared" si="7"/>
        <v>7.253772821624796</v>
      </c>
      <c r="O12" s="248">
        <f t="shared" si="8"/>
        <v>28.588398767580077</v>
      </c>
      <c r="P12" s="249">
        <f t="shared" si="9"/>
        <v>62.51045402164897</v>
      </c>
      <c r="Q12" s="184">
        <f t="shared" si="13"/>
        <v>1.1948319868301842</v>
      </c>
    </row>
    <row r="13" spans="1:17" ht="15.75">
      <c r="A13" s="272" t="s">
        <v>137</v>
      </c>
      <c r="B13" s="141">
        <v>155</v>
      </c>
      <c r="D13" s="308">
        <f t="shared" si="10"/>
        <v>900</v>
      </c>
      <c r="E13" s="130">
        <f t="shared" si="0"/>
        <v>1436</v>
      </c>
      <c r="F13" s="130">
        <f t="shared" si="1"/>
        <v>709</v>
      </c>
      <c r="G13" s="250">
        <f t="shared" si="2"/>
        <v>-284.9933212187607</v>
      </c>
      <c r="H13" s="131">
        <f t="shared" si="3"/>
        <v>-246.261599163394</v>
      </c>
      <c r="I13" s="302">
        <f t="shared" si="11"/>
        <v>-26.13409733242004</v>
      </c>
      <c r="J13" s="243">
        <f t="shared" si="12"/>
        <v>7.954186019489471</v>
      </c>
      <c r="K13" s="251">
        <f t="shared" si="4"/>
        <v>27.22934327689596</v>
      </c>
      <c r="L13" s="302">
        <f t="shared" si="5"/>
        <v>2.889668181778198</v>
      </c>
      <c r="M13" s="252">
        <f t="shared" si="6"/>
        <v>0.84001982028436</v>
      </c>
      <c r="N13" s="253">
        <f t="shared" si="7"/>
        <v>9.689772921437864</v>
      </c>
      <c r="O13" s="254">
        <f t="shared" si="8"/>
        <v>38.18910504331394</v>
      </c>
      <c r="P13" s="255">
        <f t="shared" si="9"/>
        <v>83.50304311709688</v>
      </c>
      <c r="Q13" s="185">
        <f t="shared" si="13"/>
        <v>1.4037456358552538</v>
      </c>
    </row>
    <row r="14" spans="1:17" ht="15.75">
      <c r="A14" s="272" t="s">
        <v>32</v>
      </c>
      <c r="B14" s="142">
        <v>0.504</v>
      </c>
      <c r="D14" s="309">
        <f t="shared" si="10"/>
        <v>1000</v>
      </c>
      <c r="E14" s="127">
        <f t="shared" si="0"/>
        <v>1330</v>
      </c>
      <c r="F14" s="127">
        <f t="shared" si="1"/>
        <v>608</v>
      </c>
      <c r="G14" s="244">
        <f t="shared" si="2"/>
        <v>-378.53442464699566</v>
      </c>
      <c r="H14" s="128">
        <f t="shared" si="3"/>
        <v>-335.2514001410327</v>
      </c>
      <c r="I14" s="306">
        <f t="shared" si="11"/>
        <v>-32.020191035437705</v>
      </c>
      <c r="J14" s="242">
        <f t="shared" si="12"/>
        <v>9.745680236657927</v>
      </c>
      <c r="K14" s="245">
        <f t="shared" si="4"/>
        <v>35.34104923393231</v>
      </c>
      <c r="L14" s="303">
        <f t="shared" si="5"/>
        <v>3.3754583795541846</v>
      </c>
      <c r="M14" s="249">
        <f t="shared" si="6"/>
        <v>0.9812379010331932</v>
      </c>
      <c r="N14" s="247">
        <f t="shared" si="7"/>
        <v>12.870170437997853</v>
      </c>
      <c r="O14" s="248">
        <f t="shared" si="8"/>
        <v>50.72361290269742</v>
      </c>
      <c r="P14" s="249">
        <f t="shared" si="9"/>
        <v>110.91058642156972</v>
      </c>
      <c r="Q14" s="184">
        <f t="shared" si="13"/>
        <v>1.62930954562969</v>
      </c>
    </row>
    <row r="15" spans="1:17" ht="15.75">
      <c r="A15" s="272" t="s">
        <v>34</v>
      </c>
      <c r="B15" s="141">
        <v>0</v>
      </c>
      <c r="D15" s="308">
        <f t="shared" si="10"/>
        <v>1100</v>
      </c>
      <c r="E15" s="130">
        <f t="shared" si="0"/>
        <v>1234</v>
      </c>
      <c r="F15" s="130">
        <f t="shared" si="1"/>
        <v>524</v>
      </c>
      <c r="G15" s="250">
        <f t="shared" si="2"/>
        <v>-488.29995293517567</v>
      </c>
      <c r="H15" s="131">
        <f t="shared" si="3"/>
        <v>-440.4656259786164</v>
      </c>
      <c r="I15" s="302">
        <f t="shared" si="11"/>
        <v>-38.24482295551067</v>
      </c>
      <c r="J15" s="243">
        <f t="shared" si="12"/>
        <v>11.640212103028976</v>
      </c>
      <c r="K15" s="251">
        <f t="shared" si="4"/>
        <v>44.08270851406613</v>
      </c>
      <c r="L15" s="302">
        <f t="shared" si="5"/>
        <v>3.827620779201713</v>
      </c>
      <c r="M15" s="252">
        <f t="shared" si="6"/>
        <v>1.1126804590702655</v>
      </c>
      <c r="N15" s="253">
        <f t="shared" si="7"/>
        <v>16.602198399795974</v>
      </c>
      <c r="O15" s="254">
        <f t="shared" si="8"/>
        <v>65.43219369331355</v>
      </c>
      <c r="P15" s="255">
        <f t="shared" si="9"/>
        <v>143.07188621000645</v>
      </c>
      <c r="Q15" s="185">
        <f t="shared" si="13"/>
        <v>1.8724213770721536</v>
      </c>
    </row>
    <row r="16" spans="1:17" ht="16.5" thickBot="1">
      <c r="A16" s="272" t="s">
        <v>35</v>
      </c>
      <c r="B16" s="141">
        <v>100</v>
      </c>
      <c r="D16" s="310">
        <f t="shared" si="10"/>
        <v>1200</v>
      </c>
      <c r="E16" s="127">
        <f t="shared" si="0"/>
        <v>1154</v>
      </c>
      <c r="F16" s="127">
        <f t="shared" si="1"/>
        <v>458</v>
      </c>
      <c r="G16" s="244">
        <f t="shared" si="2"/>
        <v>-624.3996846091293</v>
      </c>
      <c r="H16" s="128">
        <f t="shared" si="3"/>
        <v>-572.0140552019737</v>
      </c>
      <c r="I16" s="304">
        <f t="shared" si="11"/>
        <v>-45.52802094889953</v>
      </c>
      <c r="J16" s="242">
        <f t="shared" si="12"/>
        <v>13.856929631830761</v>
      </c>
      <c r="K16" s="245">
        <f t="shared" si="4"/>
        <v>54.384052064040546</v>
      </c>
      <c r="L16" s="304">
        <f t="shared" si="5"/>
        <v>4.328561928051619</v>
      </c>
      <c r="M16" s="249">
        <f t="shared" si="6"/>
        <v>1.2583028860615173</v>
      </c>
      <c r="N16" s="247">
        <f t="shared" si="7"/>
        <v>21.229589276710396</v>
      </c>
      <c r="O16" s="248">
        <f t="shared" si="8"/>
        <v>83.66955773762332</v>
      </c>
      <c r="P16" s="249">
        <f t="shared" si="9"/>
        <v>182.94910759047488</v>
      </c>
      <c r="Q16" s="184">
        <f t="shared" si="13"/>
        <v>2.132386715027093</v>
      </c>
    </row>
    <row r="17" spans="1:17" ht="15.75">
      <c r="A17" s="272" t="s">
        <v>36</v>
      </c>
      <c r="B17" s="141">
        <v>150</v>
      </c>
      <c r="D17" s="260">
        <f t="shared" si="10"/>
        <v>1300</v>
      </c>
      <c r="E17" s="130">
        <f t="shared" si="0"/>
        <v>1085</v>
      </c>
      <c r="F17" s="130">
        <f t="shared" si="1"/>
        <v>405</v>
      </c>
      <c r="G17" s="250">
        <f t="shared" si="2"/>
        <v>-784.4476500028749</v>
      </c>
      <c r="H17" s="131">
        <f t="shared" si="3"/>
        <v>-727.510718145123</v>
      </c>
      <c r="I17" s="132">
        <f t="shared" si="11"/>
        <v>-53.45020337558761</v>
      </c>
      <c r="J17" s="243">
        <f t="shared" si="12"/>
        <v>16.268128759953555</v>
      </c>
      <c r="K17" s="251">
        <f t="shared" si="4"/>
        <v>65.58301787121177</v>
      </c>
      <c r="L17" s="131">
        <f t="shared" si="5"/>
        <v>4.818383503872733</v>
      </c>
      <c r="M17" s="252">
        <f t="shared" si="6"/>
        <v>1.400692879032771</v>
      </c>
      <c r="N17" s="253">
        <f t="shared" si="7"/>
        <v>26.67122010009775</v>
      </c>
      <c r="O17" s="254">
        <f t="shared" si="8"/>
        <v>105.11598510038525</v>
      </c>
      <c r="P17" s="255">
        <f t="shared" si="9"/>
        <v>229.84316145084233</v>
      </c>
      <c r="Q17" s="185">
        <f t="shared" si="13"/>
        <v>2.4088844108796277</v>
      </c>
    </row>
    <row r="18" spans="1:17" ht="15.75">
      <c r="A18" s="272" t="s">
        <v>37</v>
      </c>
      <c r="B18" s="141">
        <v>59</v>
      </c>
      <c r="D18" s="259">
        <f t="shared" si="10"/>
        <v>1400</v>
      </c>
      <c r="E18" s="127">
        <f t="shared" si="0"/>
        <v>1036</v>
      </c>
      <c r="F18" s="127">
        <f t="shared" si="1"/>
        <v>369</v>
      </c>
      <c r="G18" s="244">
        <f t="shared" si="2"/>
        <v>-977.3596018783036</v>
      </c>
      <c r="H18" s="128">
        <f t="shared" si="3"/>
        <v>-915.8713675699554</v>
      </c>
      <c r="I18" s="129">
        <f t="shared" si="11"/>
        <v>-62.482696655065865</v>
      </c>
      <c r="J18" s="242">
        <f t="shared" si="12"/>
        <v>19.017262615655223</v>
      </c>
      <c r="K18" s="245">
        <f t="shared" si="4"/>
        <v>78.05865519047967</v>
      </c>
      <c r="L18" s="128">
        <f t="shared" si="5"/>
        <v>5.32532782033563</v>
      </c>
      <c r="M18" s="249">
        <f t="shared" si="6"/>
        <v>1.5480604128882647</v>
      </c>
      <c r="N18" s="247">
        <f t="shared" si="7"/>
        <v>33.23022646386232</v>
      </c>
      <c r="O18" s="248">
        <f t="shared" si="8"/>
        <v>130.96618665169268</v>
      </c>
      <c r="P18" s="249">
        <f t="shared" si="9"/>
        <v>286.3663633503429</v>
      </c>
      <c r="Q18" s="184">
        <f t="shared" si="13"/>
        <v>2.6984597004549173</v>
      </c>
    </row>
    <row r="19" spans="1:17" ht="15.75">
      <c r="A19" s="272" t="s">
        <v>138</v>
      </c>
      <c r="B19" s="143">
        <v>2.23</v>
      </c>
      <c r="D19" s="260">
        <f t="shared" si="10"/>
        <v>1500</v>
      </c>
      <c r="E19" s="130">
        <f t="shared" si="0"/>
        <v>993</v>
      </c>
      <c r="F19" s="130">
        <f t="shared" si="1"/>
        <v>339</v>
      </c>
      <c r="G19" s="250">
        <f t="shared" si="2"/>
        <v>-1203.908959316683</v>
      </c>
      <c r="H19" s="131">
        <f t="shared" si="3"/>
        <v>-1137.8694225577385</v>
      </c>
      <c r="I19" s="132">
        <f t="shared" si="11"/>
        <v>-72.45268529498495</v>
      </c>
      <c r="J19" s="243">
        <f t="shared" si="12"/>
        <v>22.051732995305013</v>
      </c>
      <c r="K19" s="251">
        <f t="shared" si="4"/>
        <v>91.69245178447257</v>
      </c>
      <c r="L19" s="131">
        <f t="shared" si="5"/>
        <v>5.838424182392396</v>
      </c>
      <c r="M19" s="252">
        <f t="shared" si="6"/>
        <v>1.697216332090813</v>
      </c>
      <c r="N19" s="254">
        <f t="shared" si="7"/>
        <v>40.932904616767225</v>
      </c>
      <c r="O19" s="254">
        <f t="shared" si="8"/>
        <v>161.3238005484355</v>
      </c>
      <c r="P19" s="255">
        <f t="shared" si="9"/>
        <v>352.7453250797881</v>
      </c>
      <c r="Q19" s="185">
        <f t="shared" si="13"/>
        <v>3.000574504080295</v>
      </c>
    </row>
    <row r="20" spans="1:17" ht="15.75">
      <c r="A20" s="272" t="s">
        <v>38</v>
      </c>
      <c r="B20" s="141">
        <v>100</v>
      </c>
      <c r="D20" s="259">
        <f t="shared" si="10"/>
        <v>1600</v>
      </c>
      <c r="E20" s="127">
        <f t="shared" si="0"/>
        <v>957</v>
      </c>
      <c r="F20" s="127">
        <f t="shared" si="1"/>
        <v>315</v>
      </c>
      <c r="G20" s="244">
        <f t="shared" si="2"/>
        <v>-1456.3960269952913</v>
      </c>
      <c r="H20" s="128">
        <f t="shared" si="3"/>
        <v>-1385.8051877857506</v>
      </c>
      <c r="I20" s="129">
        <f t="shared" si="11"/>
        <v>-82.72476049341874</v>
      </c>
      <c r="J20" s="242">
        <f t="shared" si="12"/>
        <v>25.178146580409713</v>
      </c>
      <c r="K20" s="245">
        <f t="shared" si="4"/>
        <v>105.5469110230779</v>
      </c>
      <c r="L20" s="128">
        <f t="shared" si="5"/>
        <v>6.3005558156087575</v>
      </c>
      <c r="M20" s="249">
        <f t="shared" si="6"/>
        <v>1.8315569231420807</v>
      </c>
      <c r="N20" s="248">
        <f t="shared" si="7"/>
        <v>49.51746491783991</v>
      </c>
      <c r="O20" s="248">
        <f t="shared" si="8"/>
        <v>195.15706761736905</v>
      </c>
      <c r="P20" s="249">
        <f t="shared" si="9"/>
        <v>426.72403590962034</v>
      </c>
      <c r="Q20" s="184">
        <f t="shared" si="13"/>
        <v>3.3140541279047464</v>
      </c>
    </row>
    <row r="21" spans="1:17" ht="15.75">
      <c r="A21" s="272" t="s">
        <v>74</v>
      </c>
      <c r="B21" s="141">
        <v>4</v>
      </c>
      <c r="D21" s="260">
        <f t="shared" si="10"/>
        <v>1700</v>
      </c>
      <c r="E21" s="130">
        <f t="shared" si="0"/>
        <v>925</v>
      </c>
      <c r="F21" s="130">
        <f t="shared" si="1"/>
        <v>294</v>
      </c>
      <c r="G21" s="250">
        <f t="shared" si="2"/>
        <v>-1746.4028232800435</v>
      </c>
      <c r="H21" s="131">
        <f t="shared" si="3"/>
        <v>-1671.2606816199066</v>
      </c>
      <c r="I21" s="132">
        <f t="shared" si="11"/>
        <v>-93.89632460362418</v>
      </c>
      <c r="J21" s="243">
        <f t="shared" si="12"/>
        <v>28.578329029068172</v>
      </c>
      <c r="K21" s="251">
        <f t="shared" si="4"/>
        <v>120.43734562727519</v>
      </c>
      <c r="L21" s="131">
        <f t="shared" si="5"/>
        <v>6.766523154518524</v>
      </c>
      <c r="M21" s="252">
        <f t="shared" si="6"/>
        <v>1.9670125449181755</v>
      </c>
      <c r="N21" s="254">
        <f t="shared" si="7"/>
        <v>59.377695991521485</v>
      </c>
      <c r="O21" s="254">
        <f t="shared" si="8"/>
        <v>234.01797831952584</v>
      </c>
      <c r="P21" s="255">
        <f t="shared" si="9"/>
        <v>511.6960272210527</v>
      </c>
      <c r="Q21" s="185">
        <f t="shared" si="13"/>
        <v>3.6383784522290705</v>
      </c>
    </row>
    <row r="22" spans="1:17" ht="16.5" thickBot="1">
      <c r="A22" s="272" t="s">
        <v>141</v>
      </c>
      <c r="B22" s="144">
        <v>0</v>
      </c>
      <c r="D22" s="259">
        <f t="shared" si="10"/>
        <v>1800</v>
      </c>
      <c r="E22" s="127">
        <f t="shared" si="0"/>
        <v>896</v>
      </c>
      <c r="F22" s="127">
        <f t="shared" si="1"/>
        <v>276</v>
      </c>
      <c r="G22" s="244">
        <f t="shared" si="2"/>
        <v>-2071.922145010354</v>
      </c>
      <c r="H22" s="128">
        <f t="shared" si="3"/>
        <v>-1992.228700899621</v>
      </c>
      <c r="I22" s="129">
        <f t="shared" si="11"/>
        <v>-105.71095728003932</v>
      </c>
      <c r="J22" s="242">
        <f t="shared" si="12"/>
        <v>32.17423612563987</v>
      </c>
      <c r="K22" s="245">
        <f t="shared" si="4"/>
        <v>136.01369887483904</v>
      </c>
      <c r="L22" s="128">
        <f t="shared" si="5"/>
        <v>7.217112324887989</v>
      </c>
      <c r="M22" s="249">
        <f t="shared" si="6"/>
        <v>2.0979977688627875</v>
      </c>
      <c r="N22" s="248">
        <f t="shared" si="7"/>
        <v>70.44535293035204</v>
      </c>
      <c r="O22" s="248">
        <f t="shared" si="8"/>
        <v>277.6375674313875</v>
      </c>
      <c r="P22" s="249">
        <f t="shared" si="9"/>
        <v>607.0731884880337</v>
      </c>
      <c r="Q22" s="184">
        <f t="shared" si="13"/>
        <v>3.973199880800499</v>
      </c>
    </row>
    <row r="23" spans="1:17" ht="15.75">
      <c r="A23" s="273"/>
      <c r="B23" s="126"/>
      <c r="D23" s="260">
        <f t="shared" si="10"/>
        <v>1900</v>
      </c>
      <c r="E23" s="130">
        <f t="shared" si="0"/>
        <v>869</v>
      </c>
      <c r="F23" s="130">
        <f t="shared" si="1"/>
        <v>259</v>
      </c>
      <c r="G23" s="250">
        <f t="shared" si="2"/>
        <v>-2444.805050838555</v>
      </c>
      <c r="H23" s="131">
        <f t="shared" si="3"/>
        <v>-2360.5603042772254</v>
      </c>
      <c r="I23" s="132">
        <f t="shared" si="11"/>
        <v>-118.66286152300938</v>
      </c>
      <c r="J23" s="243">
        <f t="shared" si="12"/>
        <v>36.11628372517175</v>
      </c>
      <c r="K23" s="251">
        <f t="shared" si="4"/>
        <v>152.8745614485388</v>
      </c>
      <c r="L23" s="131">
        <f t="shared" si="5"/>
        <v>7.684841977003911</v>
      </c>
      <c r="M23" s="252">
        <f t="shared" si="6"/>
        <v>2.233965690989509</v>
      </c>
      <c r="N23" s="254">
        <f t="shared" si="7"/>
        <v>83.12337172851088</v>
      </c>
      <c r="O23" s="254">
        <f t="shared" si="8"/>
        <v>327.60387681236637</v>
      </c>
      <c r="P23" s="255">
        <f t="shared" si="9"/>
        <v>716.3278798956966</v>
      </c>
      <c r="Q23" s="185">
        <f t="shared" si="13"/>
        <v>4.318424276657806</v>
      </c>
    </row>
    <row r="24" spans="1:17" ht="15.75">
      <c r="A24" s="273"/>
      <c r="B24" s="126"/>
      <c r="D24" s="259">
        <f>D23+$B$16</f>
        <v>2000</v>
      </c>
      <c r="E24" s="127">
        <f t="shared" si="0"/>
        <v>844</v>
      </c>
      <c r="F24" s="127">
        <f>TRUNC(E24^2*$B$13/450400.1)</f>
        <v>245</v>
      </c>
      <c r="G24" s="244">
        <f t="shared" si="2"/>
        <v>-2859.3700374989</v>
      </c>
      <c r="H24" s="128">
        <f>G24-$B$19+(D24/100*B55*1.047)</f>
        <v>-2770.573988486974</v>
      </c>
      <c r="I24" s="129">
        <f t="shared" si="11"/>
        <v>-132.3101236144687</v>
      </c>
      <c r="J24" s="242">
        <f>ABS((H24/(D24/100))/3.44)</f>
        <v>40.269970762892065</v>
      </c>
      <c r="K24" s="245">
        <f>ABS(($B$21*35.2)*(S78-(3*D24)/$B$12))/2</f>
        <v>170.43475896088162</v>
      </c>
      <c r="L24" s="128">
        <f>(K24/1.047/(D24/100))</f>
        <v>8.139195747893107</v>
      </c>
      <c r="M24" s="249">
        <f t="shared" si="6"/>
        <v>2.366045275550322</v>
      </c>
      <c r="N24" s="248">
        <f t="shared" si="7"/>
        <v>97.2185812749626</v>
      </c>
      <c r="O24" s="248">
        <f t="shared" si="8"/>
        <v>383.1555850248526</v>
      </c>
      <c r="P24" s="249">
        <f t="shared" si="9"/>
        <v>837.7954209871776</v>
      </c>
      <c r="Q24" s="184">
        <f t="shared" si="13"/>
        <v>4.6738745136246305</v>
      </c>
    </row>
    <row r="25" spans="1:17" ht="15.75">
      <c r="A25" s="274" t="s">
        <v>129</v>
      </c>
      <c r="B25" s="138"/>
      <c r="D25" s="260">
        <f t="shared" si="10"/>
        <v>2100</v>
      </c>
      <c r="E25" s="130">
        <f t="shared" si="0"/>
        <v>821</v>
      </c>
      <c r="F25" s="130">
        <f t="shared" si="1"/>
        <v>231</v>
      </c>
      <c r="G25" s="250">
        <f t="shared" si="2"/>
        <v>-3308.628308841324</v>
      </c>
      <c r="H25" s="131">
        <f t="shared" si="3"/>
        <v>-3215.2809573788018</v>
      </c>
      <c r="I25" s="132">
        <f t="shared" si="11"/>
        <v>-146.23554634005558</v>
      </c>
      <c r="J25" s="243">
        <f aca="true" t="shared" si="14" ref="J25:J44">IF(D25&gt;0,ABS(SUM((H25/(D25/100))/3.44)),0)</f>
        <v>44.5083189005925</v>
      </c>
      <c r="K25" s="251">
        <f t="shared" si="4"/>
        <v>188.18865887095293</v>
      </c>
      <c r="L25" s="131">
        <f t="shared" si="5"/>
        <v>8.559087591347295</v>
      </c>
      <c r="M25" s="252">
        <f t="shared" si="6"/>
        <v>2.488106857949795</v>
      </c>
      <c r="N25" s="254">
        <f t="shared" si="7"/>
        <v>112.49336250060502</v>
      </c>
      <c r="O25" s="254">
        <f t="shared" si="8"/>
        <v>443.3561933847374</v>
      </c>
      <c r="P25" s="255">
        <f t="shared" si="9"/>
        <v>969.4280944905079</v>
      </c>
      <c r="Q25" s="185">
        <f t="shared" si="13"/>
        <v>5.039282552601488</v>
      </c>
    </row>
    <row r="26" spans="1:17" ht="15.75">
      <c r="A26" s="274" t="s">
        <v>130</v>
      </c>
      <c r="B26" s="139"/>
      <c r="D26" s="259">
        <f t="shared" si="10"/>
        <v>2200</v>
      </c>
      <c r="E26" s="127">
        <f t="shared" si="0"/>
        <v>799</v>
      </c>
      <c r="F26" s="127">
        <f t="shared" si="1"/>
        <v>219</v>
      </c>
      <c r="G26" s="244">
        <f aca="true" t="shared" si="15" ref="G26:G44">-12*T80*S80^2</f>
        <v>-3806.3536187866866</v>
      </c>
      <c r="H26" s="128">
        <f aca="true" t="shared" si="16" ref="H26:H44">G26-$B$19+(D26/100*$B$55*1.047)</f>
        <v>-3708.4549648735683</v>
      </c>
      <c r="I26" s="129">
        <f t="shared" si="11"/>
        <v>-160.99917360743112</v>
      </c>
      <c r="J26" s="242">
        <f t="shared" si="14"/>
        <v>49.0017833624943</v>
      </c>
      <c r="K26" s="245">
        <f t="shared" si="4"/>
        <v>206.81674002036704</v>
      </c>
      <c r="L26" s="128">
        <f t="shared" si="5"/>
        <v>8.978759226376967</v>
      </c>
      <c r="M26" s="249">
        <f t="shared" si="6"/>
        <v>2.610104426272374</v>
      </c>
      <c r="N26" s="248">
        <f t="shared" si="7"/>
        <v>129.41602303874737</v>
      </c>
      <c r="O26" s="248">
        <f t="shared" si="8"/>
        <v>510.05138491741604</v>
      </c>
      <c r="P26" s="249">
        <f t="shared" si="9"/>
        <v>1115.261610304499</v>
      </c>
      <c r="Q26" s="184">
        <f t="shared" si="13"/>
        <v>5.414751889272327</v>
      </c>
    </row>
    <row r="27" spans="1:17" ht="15.75">
      <c r="A27" s="274" t="s">
        <v>131</v>
      </c>
      <c r="B27" s="139"/>
      <c r="D27" s="260">
        <f t="shared" si="10"/>
        <v>2300</v>
      </c>
      <c r="E27" s="130">
        <f t="shared" si="0"/>
        <v>778</v>
      </c>
      <c r="F27" s="130">
        <f t="shared" si="1"/>
        <v>208</v>
      </c>
      <c r="G27" s="250">
        <f t="shared" si="15"/>
        <v>-4355.791195821484</v>
      </c>
      <c r="H27" s="131">
        <f t="shared" si="16"/>
        <v>-4253.341239457768</v>
      </c>
      <c r="I27" s="132">
        <f t="shared" si="11"/>
        <v>-176.62643741778865</v>
      </c>
      <c r="J27" s="243">
        <f t="shared" si="14"/>
        <v>53.758104644309505</v>
      </c>
      <c r="K27" s="251">
        <f t="shared" si="4"/>
        <v>226.31947628346546</v>
      </c>
      <c r="L27" s="131">
        <f t="shared" si="5"/>
        <v>9.398259054169904</v>
      </c>
      <c r="M27" s="252">
        <f t="shared" si="6"/>
        <v>2.732052050630786</v>
      </c>
      <c r="N27" s="254">
        <f t="shared" si="7"/>
        <v>148.09690065793046</v>
      </c>
      <c r="O27" s="254">
        <f t="shared" si="8"/>
        <v>583.6760202400789</v>
      </c>
      <c r="P27" s="255">
        <f t="shared" si="9"/>
        <v>1276.2468203756946</v>
      </c>
      <c r="Q27" s="185">
        <f t="shared" si="13"/>
        <v>5.800356002382866</v>
      </c>
    </row>
    <row r="28" spans="1:17" ht="15.75">
      <c r="A28" s="270"/>
      <c r="D28" s="259">
        <f t="shared" si="10"/>
        <v>2400</v>
      </c>
      <c r="E28" s="127">
        <f t="shared" si="0"/>
        <v>758</v>
      </c>
      <c r="F28" s="127">
        <f t="shared" si="1"/>
        <v>197</v>
      </c>
      <c r="G28" s="244">
        <f t="shared" si="15"/>
        <v>-4956.078115182921</v>
      </c>
      <c r="H28" s="128">
        <f t="shared" si="16"/>
        <v>-4849.076856368609</v>
      </c>
      <c r="I28" s="129">
        <f t="shared" si="11"/>
        <v>-192.9750420395021</v>
      </c>
      <c r="J28" s="242">
        <f t="shared" si="14"/>
        <v>58.733973550976366</v>
      </c>
      <c r="K28" s="245">
        <f t="shared" si="4"/>
        <v>246.51476229142835</v>
      </c>
      <c r="L28" s="128">
        <f t="shared" si="5"/>
        <v>9.810361441078811</v>
      </c>
      <c r="M28" s="249">
        <f t="shared" si="6"/>
        <v>2.8518492561275615</v>
      </c>
      <c r="N28" s="248">
        <f t="shared" si="7"/>
        <v>168.5066559162193</v>
      </c>
      <c r="O28" s="248">
        <f t="shared" si="8"/>
        <v>664.1144674345114</v>
      </c>
      <c r="P28" s="249">
        <f t="shared" si="9"/>
        <v>1452.1308877485956</v>
      </c>
      <c r="Q28" s="184">
        <f t="shared" si="13"/>
        <v>6.196134366498961</v>
      </c>
    </row>
    <row r="29" spans="1:17" ht="15.75">
      <c r="A29" s="270"/>
      <c r="D29" s="260">
        <f t="shared" si="10"/>
        <v>2500</v>
      </c>
      <c r="E29" s="130">
        <f t="shared" si="0"/>
        <v>739</v>
      </c>
      <c r="F29" s="130">
        <f t="shared" si="1"/>
        <v>187</v>
      </c>
      <c r="G29" s="250">
        <f t="shared" si="15"/>
        <v>-5603.909823910427</v>
      </c>
      <c r="H29" s="131">
        <f t="shared" si="16"/>
        <v>-5492.357262645519</v>
      </c>
      <c r="I29" s="132">
        <f t="shared" si="11"/>
        <v>-209.83217813354418</v>
      </c>
      <c r="J29" s="243">
        <f t="shared" si="14"/>
        <v>63.86461933308743</v>
      </c>
      <c r="K29" s="251">
        <f t="shared" si="4"/>
        <v>267.1581105159617</v>
      </c>
      <c r="L29" s="131">
        <f t="shared" si="5"/>
        <v>10.206613582271698</v>
      </c>
      <c r="M29" s="252">
        <f t="shared" si="6"/>
        <v>2.967038832055726</v>
      </c>
      <c r="N29" s="254">
        <f t="shared" si="7"/>
        <v>190.53293401295454</v>
      </c>
      <c r="O29" s="254">
        <f t="shared" si="8"/>
        <v>750.9239164039973</v>
      </c>
      <c r="P29" s="255">
        <f t="shared" si="9"/>
        <v>1641.945578405755</v>
      </c>
      <c r="Q29" s="185">
        <f t="shared" si="13"/>
        <v>6.602088358379881</v>
      </c>
    </row>
    <row r="30" spans="1:17" ht="12.75">
      <c r="A30" s="266"/>
      <c r="D30" s="259">
        <f t="shared" si="10"/>
        <v>2600</v>
      </c>
      <c r="E30" s="127">
        <f t="shared" si="0"/>
        <v>721</v>
      </c>
      <c r="F30" s="127">
        <f t="shared" si="1"/>
        <v>178</v>
      </c>
      <c r="G30" s="244">
        <f t="shared" si="15"/>
        <v>-6293.706184274034</v>
      </c>
      <c r="H30" s="128">
        <f t="shared" si="16"/>
        <v>-6177.60232055853</v>
      </c>
      <c r="I30" s="129">
        <f t="shared" si="11"/>
        <v>-226.93418266690654</v>
      </c>
      <c r="J30" s="242">
        <f t="shared" si="14"/>
        <v>69.0697933872823</v>
      </c>
      <c r="K30" s="245">
        <f t="shared" si="4"/>
        <v>287.9673626696451</v>
      </c>
      <c r="L30" s="128">
        <f t="shared" si="5"/>
        <v>10.57847926932794</v>
      </c>
      <c r="M30" s="249">
        <f t="shared" si="6"/>
        <v>3.075139322479052</v>
      </c>
      <c r="N30" s="248">
        <f t="shared" si="7"/>
        <v>213.98601026531716</v>
      </c>
      <c r="O30" s="248">
        <f t="shared" si="8"/>
        <v>843.3566286927206</v>
      </c>
      <c r="P30" s="249">
        <f t="shared" si="9"/>
        <v>1844.0559119922918</v>
      </c>
      <c r="Q30" s="184">
        <f t="shared" si="13"/>
        <v>7.018177123983209</v>
      </c>
    </row>
    <row r="31" spans="4:17" ht="12.75">
      <c r="D31" s="260">
        <f t="shared" si="10"/>
        <v>2700</v>
      </c>
      <c r="E31" s="130">
        <f t="shared" si="0"/>
        <v>703</v>
      </c>
      <c r="F31" s="130">
        <f t="shared" si="1"/>
        <v>170</v>
      </c>
      <c r="G31" s="250">
        <f t="shared" si="15"/>
        <v>-7063.766018877775</v>
      </c>
      <c r="H31" s="131">
        <f t="shared" si="16"/>
        <v>-6943.110852711675</v>
      </c>
      <c r="I31" s="132">
        <f t="shared" si="11"/>
        <v>-245.60864737739837</v>
      </c>
      <c r="J31" s="243">
        <f t="shared" si="14"/>
        <v>74.75356215236513</v>
      </c>
      <c r="K31" s="251">
        <f t="shared" si="4"/>
        <v>310.38046193077156</v>
      </c>
      <c r="L31" s="131">
        <f t="shared" si="5"/>
        <v>10.979534540690212</v>
      </c>
      <c r="M31" s="252">
        <f t="shared" si="6"/>
        <v>3.191725157177387</v>
      </c>
      <c r="N31" s="254">
        <f t="shared" si="7"/>
        <v>240.16804464184438</v>
      </c>
      <c r="O31" s="254">
        <f t="shared" si="8"/>
        <v>946.544646529622</v>
      </c>
      <c r="P31" s="255">
        <f t="shared" si="9"/>
        <v>2069.683443531188</v>
      </c>
      <c r="Q31" s="185">
        <f t="shared" si="13"/>
        <v>7.444919655988899</v>
      </c>
    </row>
    <row r="32" spans="4:17" ht="12.75">
      <c r="D32" s="259">
        <f t="shared" si="10"/>
        <v>2800</v>
      </c>
      <c r="E32" s="127">
        <f t="shared" si="0"/>
        <v>686</v>
      </c>
      <c r="F32" s="127">
        <f t="shared" si="1"/>
        <v>161</v>
      </c>
      <c r="G32" s="244">
        <f t="shared" si="15"/>
        <v>-7870.521120175849</v>
      </c>
      <c r="H32" s="128">
        <f t="shared" si="16"/>
        <v>-7745.3146515591525</v>
      </c>
      <c r="I32" s="129">
        <f t="shared" si="11"/>
        <v>-264.2009364019359</v>
      </c>
      <c r="J32" s="242">
        <f t="shared" si="14"/>
        <v>80.41231988744967</v>
      </c>
      <c r="K32" s="245">
        <f t="shared" si="4"/>
        <v>332.6030546527274</v>
      </c>
      <c r="L32" s="128">
        <f t="shared" si="5"/>
        <v>11.345444625894645</v>
      </c>
      <c r="M32" s="249">
        <f t="shared" si="6"/>
        <v>3.2980943679926296</v>
      </c>
      <c r="N32" s="248">
        <f t="shared" si="7"/>
        <v>267.5977180859789</v>
      </c>
      <c r="O32" s="248">
        <f t="shared" si="8"/>
        <v>1054.6498301035638</v>
      </c>
      <c r="P32" s="249">
        <f t="shared" si="9"/>
        <v>2306.062688211524</v>
      </c>
      <c r="Q32" s="184">
        <f t="shared" si="13"/>
        <v>7.882237440245459</v>
      </c>
    </row>
    <row r="33" spans="4:17" ht="12.75">
      <c r="D33" s="260">
        <f t="shared" si="10"/>
        <v>2900</v>
      </c>
      <c r="E33" s="130">
        <f t="shared" si="0"/>
        <v>669</v>
      </c>
      <c r="F33" s="130">
        <f t="shared" si="1"/>
        <v>154</v>
      </c>
      <c r="G33" s="250">
        <f t="shared" si="15"/>
        <v>-8777.57610348574</v>
      </c>
      <c r="H33" s="131">
        <f t="shared" si="16"/>
        <v>-8647.818332418447</v>
      </c>
      <c r="I33" s="132">
        <f t="shared" si="11"/>
        <v>-284.81435735660006</v>
      </c>
      <c r="J33" s="243">
        <f t="shared" si="14"/>
        <v>86.6862302768489</v>
      </c>
      <c r="K33" s="251">
        <f t="shared" si="4"/>
        <v>356.82560541473293</v>
      </c>
      <c r="L33" s="131">
        <f t="shared" si="5"/>
        <v>11.751987794840199</v>
      </c>
      <c r="M33" s="252">
        <f t="shared" si="6"/>
        <v>3.4162755217558716</v>
      </c>
      <c r="N33" s="254">
        <f t="shared" si="7"/>
        <v>298.4375875185152</v>
      </c>
      <c r="O33" s="254">
        <f t="shared" si="8"/>
        <v>1176.1951978670893</v>
      </c>
      <c r="P33" s="255">
        <f t="shared" si="9"/>
        <v>2571.829798321322</v>
      </c>
      <c r="Q33" s="185">
        <f t="shared" si="13"/>
        <v>8.330667933519</v>
      </c>
    </row>
    <row r="34" spans="4:17" ht="12.75">
      <c r="D34" s="259">
        <f t="shared" si="10"/>
        <v>3000</v>
      </c>
      <c r="E34" s="127">
        <f t="shared" si="0"/>
        <v>653</v>
      </c>
      <c r="F34" s="127">
        <f t="shared" si="1"/>
        <v>146</v>
      </c>
      <c r="G34" s="244">
        <f t="shared" si="15"/>
        <v>-9725.637703585344</v>
      </c>
      <c r="H34" s="128">
        <f t="shared" si="16"/>
        <v>-9591.328630067454</v>
      </c>
      <c r="I34" s="129">
        <f t="shared" si="11"/>
        <v>-305.35907768441433</v>
      </c>
      <c r="J34" s="242">
        <f t="shared" si="14"/>
        <v>92.93923091150633</v>
      </c>
      <c r="K34" s="245">
        <f t="shared" si="4"/>
        <v>380.8540128956494</v>
      </c>
      <c r="L34" s="128">
        <f t="shared" si="5"/>
        <v>12.125247147266776</v>
      </c>
      <c r="M34" s="249">
        <f t="shared" si="6"/>
        <v>3.5247811474612725</v>
      </c>
      <c r="N34" s="248">
        <f t="shared" si="7"/>
        <v>330.6716819219017</v>
      </c>
      <c r="O34" s="248">
        <f t="shared" si="8"/>
        <v>1303.2354522804362</v>
      </c>
      <c r="P34" s="249">
        <f t="shared" si="9"/>
        <v>2849.6118471505056</v>
      </c>
      <c r="Q34" s="184">
        <f t="shared" si="13"/>
        <v>8.790086003963104</v>
      </c>
    </row>
    <row r="35" spans="4:17" ht="12.75">
      <c r="D35" s="260">
        <f t="shared" si="10"/>
        <v>3100</v>
      </c>
      <c r="E35" s="130">
        <f t="shared" si="0"/>
        <v>637</v>
      </c>
      <c r="F35" s="130">
        <f t="shared" si="1"/>
        <v>139</v>
      </c>
      <c r="G35" s="250">
        <f t="shared" si="15"/>
        <v>-10774.095926273058</v>
      </c>
      <c r="H35" s="131">
        <f t="shared" si="16"/>
        <v>-10635.235550304571</v>
      </c>
      <c r="I35" s="132">
        <f t="shared" si="11"/>
        <v>-327.6715516007201</v>
      </c>
      <c r="J35" s="243">
        <f t="shared" si="14"/>
        <v>99.730265850568</v>
      </c>
      <c r="K35" s="251">
        <f t="shared" si="4"/>
        <v>406.5638617568447</v>
      </c>
      <c r="L35" s="131">
        <f t="shared" si="5"/>
        <v>12.526230451269209</v>
      </c>
      <c r="M35" s="252">
        <f t="shared" si="6"/>
        <v>3.641346061415468</v>
      </c>
      <c r="N35" s="254">
        <f t="shared" si="7"/>
        <v>366.319261493284</v>
      </c>
      <c r="O35" s="254">
        <f t="shared" si="8"/>
        <v>1443.7288541205899</v>
      </c>
      <c r="P35" s="255">
        <f t="shared" si="9"/>
        <v>3156.8101063980057</v>
      </c>
      <c r="Q35" s="185">
        <f t="shared" si="13"/>
        <v>9.261043617777862</v>
      </c>
    </row>
    <row r="36" spans="4:17" ht="12.75">
      <c r="D36" s="259">
        <f t="shared" si="10"/>
        <v>3200</v>
      </c>
      <c r="E36" s="127">
        <f t="shared" si="0"/>
        <v>622</v>
      </c>
      <c r="F36" s="127">
        <f t="shared" si="1"/>
        <v>133</v>
      </c>
      <c r="G36" s="244">
        <f t="shared" si="15"/>
        <v>-11854.72843538467</v>
      </c>
      <c r="H36" s="128">
        <f t="shared" si="16"/>
        <v>-11711.316756965587</v>
      </c>
      <c r="I36" s="129">
        <f t="shared" si="11"/>
        <v>-349.5498076935765</v>
      </c>
      <c r="J36" s="242">
        <f t="shared" si="14"/>
        <v>106.38914205092284</v>
      </c>
      <c r="K36" s="245">
        <f t="shared" si="4"/>
        <v>431.72368244120815</v>
      </c>
      <c r="L36" s="128">
        <f t="shared" si="5"/>
        <v>12.885735507438163</v>
      </c>
      <c r="M36" s="249">
        <f t="shared" si="6"/>
        <v>3.7458533451855125</v>
      </c>
      <c r="N36" s="248">
        <f t="shared" si="7"/>
        <v>403.0607668030788</v>
      </c>
      <c r="O36" s="248">
        <f t="shared" si="8"/>
        <v>1588.533610341546</v>
      </c>
      <c r="P36" s="249">
        <f t="shared" si="9"/>
        <v>3473.4354315677083</v>
      </c>
      <c r="Q36" s="184">
        <f t="shared" si="13"/>
        <v>9.743358730318054</v>
      </c>
    </row>
    <row r="37" spans="4:17" ht="12.75">
      <c r="D37" s="260">
        <f t="shared" si="10"/>
        <v>3300</v>
      </c>
      <c r="E37" s="130">
        <f t="shared" si="0"/>
        <v>606</v>
      </c>
      <c r="F37" s="130">
        <f t="shared" si="1"/>
        <v>126</v>
      </c>
      <c r="G37" s="250">
        <f t="shared" si="15"/>
        <v>-13118.840347170402</v>
      </c>
      <c r="H37" s="131">
        <f t="shared" si="16"/>
        <v>-12970.877366300723</v>
      </c>
      <c r="I37" s="132">
        <f t="shared" si="11"/>
        <v>-375.4125022807075</v>
      </c>
      <c r="J37" s="243">
        <f t="shared" si="14"/>
        <v>114.2607238046223</v>
      </c>
      <c r="K37" s="251">
        <f t="shared" si="4"/>
        <v>460.6913239766939</v>
      </c>
      <c r="L37" s="131">
        <f t="shared" si="5"/>
        <v>13.333661080046712</v>
      </c>
      <c r="M37" s="252">
        <f t="shared" si="6"/>
        <v>3.8760642674554395</v>
      </c>
      <c r="N37" s="254">
        <f t="shared" si="7"/>
        <v>446.0405718037937</v>
      </c>
      <c r="O37" s="254">
        <f t="shared" si="8"/>
        <v>1757.924606520834</v>
      </c>
      <c r="P37" s="255">
        <f t="shared" si="9"/>
        <v>3843.8202217209277</v>
      </c>
      <c r="Q37" s="185">
        <f t="shared" si="13"/>
        <v>10.23840823526855</v>
      </c>
    </row>
    <row r="38" spans="4:17" ht="12.75">
      <c r="D38" s="259">
        <f t="shared" si="10"/>
        <v>3400</v>
      </c>
      <c r="E38" s="127">
        <f t="shared" si="0"/>
        <v>592</v>
      </c>
      <c r="F38" s="127">
        <f t="shared" si="1"/>
        <v>120</v>
      </c>
      <c r="G38" s="244">
        <f t="shared" si="15"/>
        <v>-14325.353957490095</v>
      </c>
      <c r="H38" s="128">
        <f t="shared" si="16"/>
        <v>-14172.83967416982</v>
      </c>
      <c r="I38" s="129">
        <f t="shared" si="11"/>
        <v>-398.13584117562283</v>
      </c>
      <c r="J38" s="242">
        <f t="shared" si="14"/>
        <v>121.17680979967356</v>
      </c>
      <c r="K38" s="245">
        <f t="shared" si="4"/>
        <v>486.4768118243424</v>
      </c>
      <c r="L38" s="128">
        <f t="shared" si="5"/>
        <v>13.665846728028049</v>
      </c>
      <c r="M38" s="249">
        <f t="shared" si="6"/>
        <v>3.9726298627988514</v>
      </c>
      <c r="N38" s="248">
        <f t="shared" si="7"/>
        <v>487.0620345546633</v>
      </c>
      <c r="O38" s="248">
        <f t="shared" si="8"/>
        <v>1919.5974303036728</v>
      </c>
      <c r="P38" s="249">
        <f t="shared" si="9"/>
        <v>4197.328709544598</v>
      </c>
      <c r="Q38" s="184">
        <f t="shared" si="13"/>
        <v>10.745164992025305</v>
      </c>
    </row>
    <row r="39" spans="4:17" ht="12.75">
      <c r="D39" s="260">
        <f t="shared" si="10"/>
        <v>3500</v>
      </c>
      <c r="E39" s="130">
        <f t="shared" si="0"/>
        <v>577</v>
      </c>
      <c r="F39" s="130">
        <f t="shared" si="1"/>
        <v>114</v>
      </c>
      <c r="G39" s="250">
        <f t="shared" si="15"/>
        <v>-15753.896877230856</v>
      </c>
      <c r="H39" s="131">
        <f t="shared" si="16"/>
        <v>-15596.831291459985</v>
      </c>
      <c r="I39" s="132">
        <f t="shared" si="11"/>
        <v>-425.6196286385587</v>
      </c>
      <c r="J39" s="243">
        <f t="shared" si="14"/>
        <v>129.5417881350497</v>
      </c>
      <c r="K39" s="251">
        <f t="shared" si="4"/>
        <v>516.6987747756904</v>
      </c>
      <c r="L39" s="131">
        <f t="shared" si="5"/>
        <v>14.100116653723303</v>
      </c>
      <c r="M39" s="252">
        <f t="shared" si="6"/>
        <v>4.098871120268402</v>
      </c>
      <c r="N39" s="254">
        <f t="shared" si="7"/>
        <v>535.6324938258491</v>
      </c>
      <c r="O39" s="254">
        <f t="shared" si="8"/>
        <v>2111.022181548935</v>
      </c>
      <c r="P39" s="255">
        <f t="shared" si="9"/>
        <v>4615.891785028641</v>
      </c>
      <c r="Q39" s="185">
        <f t="shared" si="13"/>
        <v>11.265095667935185</v>
      </c>
    </row>
    <row r="40" spans="4:17" ht="12.75">
      <c r="D40" s="259">
        <f t="shared" si="10"/>
        <v>3600</v>
      </c>
      <c r="E40" s="127">
        <f t="shared" si="0"/>
        <v>563</v>
      </c>
      <c r="F40" s="127">
        <f t="shared" si="1"/>
        <v>109</v>
      </c>
      <c r="G40" s="244">
        <f t="shared" si="15"/>
        <v>-17218.352986535585</v>
      </c>
      <c r="H40" s="128">
        <f t="shared" si="16"/>
        <v>-17056.73609831412</v>
      </c>
      <c r="I40" s="129">
        <f t="shared" si="11"/>
        <v>-452.52934570503345</v>
      </c>
      <c r="J40" s="242">
        <f t="shared" si="14"/>
        <v>137.7320421375494</v>
      </c>
      <c r="K40" s="245">
        <f t="shared" si="4"/>
        <v>546.2131252628743</v>
      </c>
      <c r="L40" s="128">
        <f t="shared" si="5"/>
        <v>14.491486927275664</v>
      </c>
      <c r="M40" s="249">
        <f t="shared" si="6"/>
        <v>4.212641548626647</v>
      </c>
      <c r="N40" s="248">
        <f t="shared" si="7"/>
        <v>585.4240015422099</v>
      </c>
      <c r="O40" s="248">
        <f t="shared" si="8"/>
        <v>2307.2593001957684</v>
      </c>
      <c r="P40" s="249">
        <f t="shared" si="9"/>
        <v>5044.977425054926</v>
      </c>
      <c r="Q40" s="184">
        <f t="shared" si="13"/>
        <v>11.797955348219377</v>
      </c>
    </row>
    <row r="41" spans="4:17" ht="12.75">
      <c r="D41" s="260">
        <f t="shared" si="10"/>
        <v>3700</v>
      </c>
      <c r="E41" s="130">
        <f t="shared" si="0"/>
        <v>550</v>
      </c>
      <c r="F41" s="130">
        <f t="shared" si="1"/>
        <v>104</v>
      </c>
      <c r="G41" s="250">
        <f t="shared" si="15"/>
        <v>-18705.50857752297</v>
      </c>
      <c r="H41" s="131">
        <f t="shared" si="16"/>
        <v>-18539.34038685091</v>
      </c>
      <c r="I41" s="132">
        <f t="shared" si="11"/>
        <v>-478.57044288316445</v>
      </c>
      <c r="J41" s="243">
        <f t="shared" si="14"/>
        <v>145.6579225868236</v>
      </c>
      <c r="K41" s="251">
        <f t="shared" si="4"/>
        <v>574.7934951297864</v>
      </c>
      <c r="L41" s="131">
        <f t="shared" si="5"/>
        <v>14.837592481214962</v>
      </c>
      <c r="M41" s="252">
        <f t="shared" si="6"/>
        <v>4.3132536282601635</v>
      </c>
      <c r="N41" s="254">
        <f t="shared" si="7"/>
        <v>635.987291635781</v>
      </c>
      <c r="O41" s="254">
        <f t="shared" si="8"/>
        <v>2506.538149388078</v>
      </c>
      <c r="P41" s="255">
        <f t="shared" si="9"/>
        <v>5480.71401321423</v>
      </c>
      <c r="Q41" s="185">
        <f t="shared" si="13"/>
        <v>12.343409893673922</v>
      </c>
    </row>
    <row r="42" spans="4:17" ht="12.75">
      <c r="D42" s="259">
        <f t="shared" si="10"/>
        <v>3800</v>
      </c>
      <c r="E42" s="127">
        <f t="shared" si="0"/>
        <v>536</v>
      </c>
      <c r="F42" s="127">
        <f t="shared" si="1"/>
        <v>98</v>
      </c>
      <c r="G42" s="244">
        <f t="shared" si="15"/>
        <v>-20453.150362747532</v>
      </c>
      <c r="H42" s="128">
        <f t="shared" si="16"/>
        <v>-20282.430869624874</v>
      </c>
      <c r="I42" s="129">
        <f t="shared" si="11"/>
        <v>-509.7881382804221</v>
      </c>
      <c r="J42" s="242">
        <f t="shared" si="14"/>
        <v>155.15935487779126</v>
      </c>
      <c r="K42" s="245">
        <f t="shared" si="4"/>
        <v>607.9944100521507</v>
      </c>
      <c r="L42" s="128">
        <f t="shared" si="5"/>
        <v>15.281616901728013</v>
      </c>
      <c r="M42" s="249">
        <f t="shared" si="6"/>
        <v>4.442330494688376</v>
      </c>
      <c r="N42" s="248">
        <f t="shared" si="7"/>
        <v>695.4071123334162</v>
      </c>
      <c r="O42" s="248">
        <f t="shared" si="8"/>
        <v>2740.7221486081694</v>
      </c>
      <c r="P42" s="249">
        <f t="shared" si="9"/>
        <v>5992.7730562850265</v>
      </c>
      <c r="Q42" s="184">
        <f t="shared" si="13"/>
        <v>12.903111386211235</v>
      </c>
    </row>
    <row r="43" spans="4:17" ht="12.75">
      <c r="D43" s="260">
        <f t="shared" si="10"/>
        <v>3900</v>
      </c>
      <c r="E43" s="130">
        <f t="shared" si="0"/>
        <v>523</v>
      </c>
      <c r="F43" s="130">
        <f t="shared" si="1"/>
        <v>94</v>
      </c>
      <c r="G43" s="250">
        <f t="shared" si="15"/>
        <v>-22220.06703771396</v>
      </c>
      <c r="H43" s="131">
        <f t="shared" si="16"/>
        <v>-22044.796242140706</v>
      </c>
      <c r="I43" s="132">
        <f t="shared" si="11"/>
        <v>-539.8769681909413</v>
      </c>
      <c r="J43" s="243">
        <f t="shared" si="14"/>
        <v>164.3172051441615</v>
      </c>
      <c r="K43" s="251">
        <f t="shared" si="4"/>
        <v>639.9980183231585</v>
      </c>
      <c r="L43" s="131">
        <f t="shared" si="5"/>
        <v>15.673548804230855</v>
      </c>
      <c r="M43" s="252">
        <f t="shared" si="6"/>
        <v>4.556264187276411</v>
      </c>
      <c r="N43" s="254">
        <f t="shared" si="7"/>
        <v>755.4822792822747</v>
      </c>
      <c r="O43" s="254">
        <f t="shared" si="8"/>
        <v>2977.488983053671</v>
      </c>
      <c r="P43" s="255">
        <f t="shared" si="9"/>
        <v>6510.479642050191</v>
      </c>
      <c r="Q43" s="185">
        <f t="shared" si="13"/>
        <v>13.476725152941636</v>
      </c>
    </row>
    <row r="44" spans="4:17" ht="12.75">
      <c r="D44" s="261">
        <f t="shared" si="10"/>
        <v>4000</v>
      </c>
      <c r="E44" s="133">
        <f t="shared" si="0"/>
        <v>510</v>
      </c>
      <c r="F44" s="133">
        <f t="shared" si="1"/>
        <v>89</v>
      </c>
      <c r="G44" s="256">
        <f t="shared" si="15"/>
        <v>-24134.17025813176</v>
      </c>
      <c r="H44" s="134">
        <f t="shared" si="16"/>
        <v>-23954.348160107907</v>
      </c>
      <c r="I44" s="135">
        <f t="shared" si="11"/>
        <v>-571.9758395441239</v>
      </c>
      <c r="J44" s="242">
        <f t="shared" si="14"/>
        <v>174.08683255892373</v>
      </c>
      <c r="K44" s="257">
        <f t="shared" si="4"/>
        <v>673.6498524924348</v>
      </c>
      <c r="L44" s="134">
        <f t="shared" si="5"/>
        <v>16.08524003086043</v>
      </c>
      <c r="M44" s="249">
        <f t="shared" si="6"/>
        <v>4.675941869436172</v>
      </c>
      <c r="N44" s="258">
        <f t="shared" si="7"/>
        <v>820.5617887764798</v>
      </c>
      <c r="O44" s="248">
        <f t="shared" si="8"/>
        <v>3233.978814589656</v>
      </c>
      <c r="P44" s="249">
        <f t="shared" si="9"/>
        <v>7071.311885632605</v>
      </c>
      <c r="Q44" s="184">
        <f t="shared" si="13"/>
        <v>14.064960447059283</v>
      </c>
    </row>
    <row r="45" spans="4:17" ht="12">
      <c r="D45" s="161" t="s">
        <v>44</v>
      </c>
      <c r="E45" s="162" t="s">
        <v>45</v>
      </c>
      <c r="F45" s="163" t="s">
        <v>46</v>
      </c>
      <c r="G45" s="163" t="s">
        <v>139</v>
      </c>
      <c r="H45" s="163" t="s">
        <v>139</v>
      </c>
      <c r="I45" s="163" t="s">
        <v>57</v>
      </c>
      <c r="J45" s="164" t="s">
        <v>123</v>
      </c>
      <c r="K45" s="163" t="s">
        <v>139</v>
      </c>
      <c r="L45" s="163" t="s">
        <v>57</v>
      </c>
      <c r="M45" s="164" t="s">
        <v>123</v>
      </c>
      <c r="N45" s="163" t="s">
        <v>139</v>
      </c>
      <c r="O45" s="164" t="s">
        <v>139</v>
      </c>
      <c r="P45" s="164" t="s">
        <v>139</v>
      </c>
      <c r="Q45" s="164" t="s">
        <v>148</v>
      </c>
    </row>
    <row r="47" spans="4:5" ht="15.75">
      <c r="D47" s="4" t="s">
        <v>49</v>
      </c>
      <c r="E47" s="2"/>
    </row>
    <row r="48" spans="4:5" ht="12">
      <c r="D48" s="1"/>
      <c r="E48" s="2"/>
    </row>
    <row r="49" spans="1:4" ht="15">
      <c r="A49" s="46"/>
      <c r="D49" s="1"/>
    </row>
    <row r="50" ht="12">
      <c r="D50" s="1"/>
    </row>
    <row r="53" spans="1:20" ht="12">
      <c r="A53" s="27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12.75">
      <c r="A54" s="279" t="s">
        <v>20</v>
      </c>
      <c r="B54" s="14">
        <f>ABS(VLOOKUP($B$20,D4:G44,4))</f>
        <v>2.3213024505962987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12.75">
      <c r="A55" s="279" t="s">
        <v>21</v>
      </c>
      <c r="B55" s="14">
        <f>($B$54+$B$19)/($B$20/100)/1.047</f>
        <v>4.346993744600095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2">
      <c r="A56" s="280" t="s">
        <v>0</v>
      </c>
      <c r="B56" s="13"/>
      <c r="C56" s="13"/>
      <c r="D56" s="15" t="s">
        <v>1</v>
      </c>
      <c r="E56" s="15" t="s">
        <v>2</v>
      </c>
      <c r="F56" s="15" t="s">
        <v>3</v>
      </c>
      <c r="G56" s="13"/>
      <c r="H56" s="13"/>
      <c r="I56" s="13"/>
      <c r="J56" s="15" t="s">
        <v>4</v>
      </c>
      <c r="K56" s="13"/>
      <c r="L56" s="13"/>
      <c r="M56" s="13"/>
      <c r="N56" s="15" t="s">
        <v>5</v>
      </c>
      <c r="O56" s="15" t="s">
        <v>2</v>
      </c>
      <c r="P56" s="15" t="s">
        <v>6</v>
      </c>
      <c r="Q56" s="13"/>
      <c r="R56" s="13"/>
      <c r="S56" s="13"/>
      <c r="T56" s="13"/>
    </row>
    <row r="57" spans="1:20" ht="12">
      <c r="A57" s="280" t="s">
        <v>7</v>
      </c>
      <c r="B57" s="15" t="s">
        <v>8</v>
      </c>
      <c r="C57" s="15" t="s">
        <v>9</v>
      </c>
      <c r="D57" s="15" t="s">
        <v>10</v>
      </c>
      <c r="E57" s="15" t="s">
        <v>11</v>
      </c>
      <c r="F57" s="15" t="s">
        <v>12</v>
      </c>
      <c r="G57" s="15" t="s">
        <v>13</v>
      </c>
      <c r="H57" s="15" t="s">
        <v>14</v>
      </c>
      <c r="I57" s="15" t="s">
        <v>15</v>
      </c>
      <c r="J57" s="15" t="s">
        <v>16</v>
      </c>
      <c r="K57" s="15" t="s">
        <v>10</v>
      </c>
      <c r="L57" s="15" t="s">
        <v>11</v>
      </c>
      <c r="M57" s="15" t="s">
        <v>12</v>
      </c>
      <c r="N57" s="15" t="s">
        <v>13</v>
      </c>
      <c r="O57" s="15" t="s">
        <v>14</v>
      </c>
      <c r="P57" s="15" t="s">
        <v>15</v>
      </c>
      <c r="Q57" s="15" t="s">
        <v>17</v>
      </c>
      <c r="R57" s="15" t="s">
        <v>9</v>
      </c>
      <c r="S57" s="15" t="s">
        <v>18</v>
      </c>
      <c r="T57" s="15" t="s">
        <v>19</v>
      </c>
    </row>
    <row r="58" spans="1:20" ht="12">
      <c r="A58" s="281">
        <v>43041</v>
      </c>
      <c r="B58" s="16">
        <f aca="true" t="shared" si="17" ref="B58:B79">1/A58</f>
        <v>2.323366092795242E-05</v>
      </c>
      <c r="C58" s="16">
        <v>350</v>
      </c>
      <c r="D58" s="16">
        <v>39663.2</v>
      </c>
      <c r="E58" s="16">
        <v>-63.768</v>
      </c>
      <c r="F58" s="16">
        <v>0.0758391</v>
      </c>
      <c r="G58" s="16">
        <v>49.669</v>
      </c>
      <c r="H58" s="16">
        <v>-0.1845</v>
      </c>
      <c r="I58" s="16">
        <v>0.000482396</v>
      </c>
      <c r="J58" s="16">
        <f aca="true" t="shared" si="18" ref="J58:J98">$F$84+3*D4/($B$14/$F$85)</f>
        <v>7307.698891343</v>
      </c>
      <c r="K58" s="16">
        <f>VLOOKUP($R$58,$C$58:$I$79,2)</f>
        <v>7492.73</v>
      </c>
      <c r="L58" s="16">
        <f>VLOOKUP($R$58,$C$58:$I$79,3)</f>
        <v>-3.26733</v>
      </c>
      <c r="M58" s="16">
        <f>VLOOKUP($R$58,$C$58:$I$79,4)</f>
        <v>0.000371407</v>
      </c>
      <c r="N58" s="16">
        <f>VLOOKUP($R$58,$C$58:$I$79,5)</f>
        <v>1.88267</v>
      </c>
      <c r="O58" s="16">
        <f>VLOOKUP($R$58,$C$58:$I$79,6)</f>
        <v>-0.0011924</v>
      </c>
      <c r="P58" s="16">
        <f>VLOOKUP($R$58,$C$58:$I$79,7)</f>
        <v>3.52828E-07</v>
      </c>
      <c r="Q58" s="16">
        <f aca="true" t="shared" si="19" ref="Q58:Q98">N58+O58*(E4-R58)+P58*(E4-R58)^2</f>
        <v>1.8158495381720001</v>
      </c>
      <c r="R58" s="16">
        <f>VLOOKUP(1.1*$B$12,$C$58:$I$79,1)</f>
        <v>2750</v>
      </c>
      <c r="S58" s="16">
        <f aca="true" t="shared" si="20" ref="S58:S99">($B$14/$F$85)*(Q58-$F$83)</f>
        <v>0</v>
      </c>
      <c r="T58" s="16">
        <f aca="true" t="shared" si="21" ref="T58:T79">14.0069+6.59285*((E4/$B$12)-0.65)-1.94051*((E4/$B$12)-0.65)^2</f>
        <v>16.076685025</v>
      </c>
    </row>
    <row r="59" spans="1:20" ht="12">
      <c r="A59" s="281">
        <v>36664.2</v>
      </c>
      <c r="B59" s="16">
        <f t="shared" si="17"/>
        <v>2.7274562106905374E-05</v>
      </c>
      <c r="C59" s="16">
        <v>450</v>
      </c>
      <c r="D59" s="16">
        <v>33958.1</v>
      </c>
      <c r="E59" s="16">
        <v>-51.756</v>
      </c>
      <c r="F59" s="16">
        <v>0.0473157</v>
      </c>
      <c r="G59" s="16">
        <v>35.269</v>
      </c>
      <c r="H59" s="16">
        <v>-0.115879</v>
      </c>
      <c r="I59" s="16">
        <v>0.000234824</v>
      </c>
      <c r="J59" s="16">
        <f t="shared" si="18"/>
        <v>7899.732701893595</v>
      </c>
      <c r="K59" s="16">
        <f aca="true" t="shared" si="22" ref="K59:K79">VLOOKUP(1/J58,$B$58:$I$79,3)</f>
        <v>7492.73</v>
      </c>
      <c r="L59" s="16">
        <f aca="true" t="shared" si="23" ref="L59:L79">VLOOKUP(1/J58,$B$58:$I$79,4)</f>
        <v>-3.26733</v>
      </c>
      <c r="M59" s="16">
        <f aca="true" t="shared" si="24" ref="M59:M79">VLOOKUP(1/J58,$B$58:$I$79,5)</f>
        <v>0.000371407</v>
      </c>
      <c r="N59" s="16">
        <f aca="true" t="shared" si="25" ref="N59:N79">VLOOKUP(1/J58,$B$58:$I$79,6)</f>
        <v>1.88267</v>
      </c>
      <c r="O59" s="16">
        <f aca="true" t="shared" si="26" ref="O59:O79">VLOOKUP(1/J58,$B$58:$I$79,7)</f>
        <v>-0.0011924</v>
      </c>
      <c r="P59" s="16">
        <f aca="true" t="shared" si="27" ref="P59:P79">VLOOKUP(1/J58,$B$58:$I$79,8)</f>
        <v>3.52828E-07</v>
      </c>
      <c r="Q59" s="16">
        <f t="shared" si="19"/>
        <v>2.0346731348120004</v>
      </c>
      <c r="R59" s="16">
        <f aca="true" t="shared" si="28" ref="R59:R79">VLOOKUP(1/J58,$B$58:$I$79,2)</f>
        <v>2750</v>
      </c>
      <c r="S59" s="16">
        <f t="shared" si="20"/>
        <v>0.11088400328175159</v>
      </c>
      <c r="T59" s="16">
        <f t="shared" si="21"/>
        <v>15.733041556291242</v>
      </c>
    </row>
    <row r="60" spans="1:20" ht="12">
      <c r="A60" s="281">
        <v>31488.6</v>
      </c>
      <c r="B60" s="16">
        <f t="shared" si="17"/>
        <v>3.1757524945535846E-05</v>
      </c>
      <c r="C60" s="16">
        <v>550</v>
      </c>
      <c r="D60" s="16">
        <v>29218.7</v>
      </c>
      <c r="E60" s="16">
        <v>-43.64</v>
      </c>
      <c r="F60" s="16">
        <v>0.035161</v>
      </c>
      <c r="G60" s="16">
        <v>25.7322</v>
      </c>
      <c r="H60" s="16">
        <v>-0.079629</v>
      </c>
      <c r="I60" s="16">
        <v>0.000136695</v>
      </c>
      <c r="J60" s="16">
        <f t="shared" si="18"/>
        <v>8491.76651244419</v>
      </c>
      <c r="K60" s="16">
        <f t="shared" si="22"/>
        <v>7492.73</v>
      </c>
      <c r="L60" s="16">
        <f t="shared" si="23"/>
        <v>-3.26733</v>
      </c>
      <c r="M60" s="16">
        <f t="shared" si="24"/>
        <v>0.000371407</v>
      </c>
      <c r="N60" s="16">
        <f t="shared" si="25"/>
        <v>1.88267</v>
      </c>
      <c r="O60" s="16">
        <f t="shared" si="26"/>
        <v>-0.0011924</v>
      </c>
      <c r="P60" s="16">
        <f t="shared" si="27"/>
        <v>3.52828E-07</v>
      </c>
      <c r="Q60" s="16">
        <f t="shared" si="19"/>
        <v>2.266533778048</v>
      </c>
      <c r="R60" s="16">
        <f t="shared" si="28"/>
        <v>2750</v>
      </c>
      <c r="S60" s="16">
        <f t="shared" si="20"/>
        <v>0.22837424071618187</v>
      </c>
      <c r="T60" s="16">
        <f t="shared" si="21"/>
        <v>15.38772186061809</v>
      </c>
    </row>
    <row r="61" spans="1:20" ht="12">
      <c r="A61" s="281">
        <v>27124.6</v>
      </c>
      <c r="B61" s="16">
        <f t="shared" si="17"/>
        <v>3.686690310640526E-05</v>
      </c>
      <c r="C61" s="16">
        <v>650</v>
      </c>
      <c r="D61" s="16">
        <v>25192</v>
      </c>
      <c r="E61" s="16">
        <v>-37.095</v>
      </c>
      <c r="F61" s="16">
        <v>0.0311391</v>
      </c>
      <c r="G61" s="16">
        <v>18.9904</v>
      </c>
      <c r="H61" s="16">
        <v>-0.057305</v>
      </c>
      <c r="I61" s="16">
        <v>9.20586E-05</v>
      </c>
      <c r="J61" s="16">
        <f t="shared" si="18"/>
        <v>9083.800322994784</v>
      </c>
      <c r="K61" s="16">
        <f t="shared" si="22"/>
        <v>9222.059</v>
      </c>
      <c r="L61" s="16">
        <f t="shared" si="23"/>
        <v>-3.66916</v>
      </c>
      <c r="M61" s="16">
        <f t="shared" si="24"/>
        <v>0.00045401</v>
      </c>
      <c r="N61" s="16">
        <f t="shared" si="25"/>
        <v>2.57801</v>
      </c>
      <c r="O61" s="16">
        <f t="shared" si="26"/>
        <v>-0.00163915</v>
      </c>
      <c r="P61" s="16">
        <f t="shared" si="27"/>
        <v>5.68494E-07</v>
      </c>
      <c r="Q61" s="16">
        <f t="shared" si="19"/>
        <v>2.518139718286</v>
      </c>
      <c r="R61" s="16">
        <f t="shared" si="28"/>
        <v>2250</v>
      </c>
      <c r="S61" s="16">
        <f t="shared" si="20"/>
        <v>0.3558699693827617</v>
      </c>
      <c r="T61" s="16">
        <f t="shared" si="21"/>
        <v>15.04039473051635</v>
      </c>
    </row>
    <row r="62" spans="1:20" ht="12">
      <c r="A62" s="281">
        <v>23415.1</v>
      </c>
      <c r="B62" s="16">
        <f t="shared" si="17"/>
        <v>4.27074836323569E-05</v>
      </c>
      <c r="C62" s="16">
        <v>750</v>
      </c>
      <c r="D62" s="16">
        <v>21792</v>
      </c>
      <c r="E62" s="16">
        <v>-30.896</v>
      </c>
      <c r="F62" s="16">
        <v>0.0313196</v>
      </c>
      <c r="G62" s="16">
        <v>14.1144</v>
      </c>
      <c r="H62" s="16">
        <v>-0.041349</v>
      </c>
      <c r="I62" s="16">
        <v>6.9381E-05</v>
      </c>
      <c r="J62" s="16">
        <f t="shared" si="18"/>
        <v>9675.83413354538</v>
      </c>
      <c r="K62" s="16">
        <f t="shared" si="22"/>
        <v>9222.059</v>
      </c>
      <c r="L62" s="16">
        <f t="shared" si="23"/>
        <v>-3.66916</v>
      </c>
      <c r="M62" s="16">
        <f t="shared" si="24"/>
        <v>0.00045401</v>
      </c>
      <c r="N62" s="16">
        <f t="shared" si="25"/>
        <v>2.57801</v>
      </c>
      <c r="O62" s="16">
        <f t="shared" si="26"/>
        <v>-0.00163915</v>
      </c>
      <c r="P62" s="16">
        <f t="shared" si="27"/>
        <v>5.68494E-07</v>
      </c>
      <c r="Q62" s="16">
        <f t="shared" si="19"/>
        <v>2.7864477646959998</v>
      </c>
      <c r="R62" s="16">
        <f t="shared" si="28"/>
        <v>2250</v>
      </c>
      <c r="S62" s="16">
        <f t="shared" si="20"/>
        <v>0.49182911983760047</v>
      </c>
      <c r="T62" s="16">
        <f t="shared" si="21"/>
        <v>14.696940292000827</v>
      </c>
    </row>
    <row r="63" spans="1:20" ht="12">
      <c r="A63" s="281">
        <v>20325.5</v>
      </c>
      <c r="B63" s="16">
        <f t="shared" si="17"/>
        <v>4.9199281690487316E-05</v>
      </c>
      <c r="C63" s="16">
        <v>850</v>
      </c>
      <c r="D63" s="16">
        <v>19020.1</v>
      </c>
      <c r="E63" s="16">
        <v>-24.4588</v>
      </c>
      <c r="F63" s="16">
        <v>0.0330303</v>
      </c>
      <c r="G63" s="16">
        <v>10.6366</v>
      </c>
      <c r="H63" s="16">
        <v>-0.0288527</v>
      </c>
      <c r="I63" s="16">
        <v>5.58719E-05</v>
      </c>
      <c r="J63" s="16">
        <f t="shared" si="18"/>
        <v>10267.867944095975</v>
      </c>
      <c r="K63" s="16">
        <f t="shared" si="22"/>
        <v>9222.059</v>
      </c>
      <c r="L63" s="16">
        <f t="shared" si="23"/>
        <v>-3.66916</v>
      </c>
      <c r="M63" s="16">
        <f t="shared" si="24"/>
        <v>0.00045401</v>
      </c>
      <c r="N63" s="16">
        <f t="shared" si="25"/>
        <v>2.57801</v>
      </c>
      <c r="O63" s="16">
        <f t="shared" si="26"/>
        <v>-0.00163915</v>
      </c>
      <c r="P63" s="16">
        <f t="shared" si="27"/>
        <v>5.68494E-07</v>
      </c>
      <c r="Q63" s="16">
        <f t="shared" si="19"/>
        <v>3.0737209989439997</v>
      </c>
      <c r="R63" s="16">
        <f t="shared" si="28"/>
        <v>2250</v>
      </c>
      <c r="S63" s="16">
        <f t="shared" si="20"/>
        <v>0.6373984585114344</v>
      </c>
      <c r="T63" s="16">
        <f t="shared" si="21"/>
        <v>14.352415066622877</v>
      </c>
    </row>
    <row r="64" spans="1:20" ht="12">
      <c r="A64" s="281">
        <v>17879.9</v>
      </c>
      <c r="B64" s="16">
        <f t="shared" si="17"/>
        <v>5.592872443358184E-05</v>
      </c>
      <c r="C64" s="16">
        <v>950</v>
      </c>
      <c r="D64" s="16">
        <v>16906.5</v>
      </c>
      <c r="E64" s="16">
        <v>-17.8388</v>
      </c>
      <c r="F64" s="16">
        <v>0.0325134</v>
      </c>
      <c r="G64" s="16">
        <v>8.27886</v>
      </c>
      <c r="H64" s="16">
        <v>-0.01884</v>
      </c>
      <c r="I64" s="16">
        <v>4.41677E-05</v>
      </c>
      <c r="J64" s="16">
        <f t="shared" si="18"/>
        <v>10859.90175464657</v>
      </c>
      <c r="K64" s="16">
        <f t="shared" si="22"/>
        <v>11189.1</v>
      </c>
      <c r="L64" s="16">
        <f t="shared" si="23"/>
        <v>-4.31589</v>
      </c>
      <c r="M64" s="16">
        <f t="shared" si="24"/>
        <v>0.000960342</v>
      </c>
      <c r="N64" s="16">
        <f t="shared" si="25"/>
        <v>3.56969</v>
      </c>
      <c r="O64" s="16">
        <f t="shared" si="26"/>
        <v>-0.00249074</v>
      </c>
      <c r="P64" s="16">
        <f t="shared" si="27"/>
        <v>1.27366E-06</v>
      </c>
      <c r="Q64" s="16">
        <f t="shared" si="19"/>
        <v>3.3854545501400004</v>
      </c>
      <c r="R64" s="16">
        <f t="shared" si="28"/>
        <v>1750</v>
      </c>
      <c r="S64" s="16">
        <f t="shared" si="20"/>
        <v>0.795362520178497</v>
      </c>
      <c r="T64" s="16">
        <f t="shared" si="21"/>
        <v>14.012652879553142</v>
      </c>
    </row>
    <row r="65" spans="1:20" ht="12">
      <c r="A65" s="281">
        <v>16095.6</v>
      </c>
      <c r="B65" s="16">
        <f t="shared" si="17"/>
        <v>6.212878053629563E-05</v>
      </c>
      <c r="C65" s="16">
        <v>1025</v>
      </c>
      <c r="D65" s="16">
        <v>15747.2</v>
      </c>
      <c r="E65" s="16">
        <v>-13.2423</v>
      </c>
      <c r="F65" s="16">
        <v>0.0276581</v>
      </c>
      <c r="G65" s="16">
        <v>7.10211</v>
      </c>
      <c r="H65" s="16">
        <v>-0.0129298</v>
      </c>
      <c r="I65" s="16">
        <v>3.32035E-05</v>
      </c>
      <c r="J65" s="16">
        <f t="shared" si="18"/>
        <v>11451.935565197165</v>
      </c>
      <c r="K65" s="16">
        <f t="shared" si="22"/>
        <v>11189.1</v>
      </c>
      <c r="L65" s="16">
        <f t="shared" si="23"/>
        <v>-4.31589</v>
      </c>
      <c r="M65" s="16">
        <f t="shared" si="24"/>
        <v>0.000960342</v>
      </c>
      <c r="N65" s="16">
        <f t="shared" si="25"/>
        <v>3.56969</v>
      </c>
      <c r="O65" s="16">
        <f t="shared" si="26"/>
        <v>-0.00249074</v>
      </c>
      <c r="P65" s="16">
        <f t="shared" si="27"/>
        <v>1.27366E-06</v>
      </c>
      <c r="Q65" s="16">
        <f t="shared" si="19"/>
        <v>3.72636442886</v>
      </c>
      <c r="R65" s="16">
        <f t="shared" si="28"/>
        <v>1750</v>
      </c>
      <c r="S65" s="16">
        <f t="shared" si="20"/>
        <v>0.9681110385796426</v>
      </c>
      <c r="T65" s="16">
        <f t="shared" si="21"/>
        <v>13.684006223929238</v>
      </c>
    </row>
    <row r="66" spans="1:20" ht="12">
      <c r="A66" s="281">
        <v>15433.3</v>
      </c>
      <c r="B66" s="16">
        <f t="shared" si="17"/>
        <v>6.479495636059689E-05</v>
      </c>
      <c r="C66" s="16">
        <v>1062.5</v>
      </c>
      <c r="D66" s="16">
        <v>15288.1</v>
      </c>
      <c r="E66" s="16">
        <v>-11.3183</v>
      </c>
      <c r="F66" s="16">
        <v>0.023346</v>
      </c>
      <c r="G66" s="16">
        <v>6.66207</v>
      </c>
      <c r="H66" s="16">
        <v>-0.0106524</v>
      </c>
      <c r="I66" s="16">
        <v>2.68757E-05</v>
      </c>
      <c r="J66" s="16">
        <f t="shared" si="18"/>
        <v>12043.96937574776</v>
      </c>
      <c r="K66" s="16">
        <f t="shared" si="22"/>
        <v>11189.1</v>
      </c>
      <c r="L66" s="16">
        <f t="shared" si="23"/>
        <v>-4.31589</v>
      </c>
      <c r="M66" s="16">
        <f t="shared" si="24"/>
        <v>0.000960342</v>
      </c>
      <c r="N66" s="16">
        <f t="shared" si="25"/>
        <v>3.56969</v>
      </c>
      <c r="O66" s="16">
        <f t="shared" si="26"/>
        <v>-0.00249074</v>
      </c>
      <c r="P66" s="16">
        <f t="shared" si="27"/>
        <v>1.27366E-06</v>
      </c>
      <c r="Q66" s="16">
        <f t="shared" si="19"/>
        <v>4.09188573046</v>
      </c>
      <c r="R66" s="16">
        <f t="shared" si="28"/>
        <v>1750</v>
      </c>
      <c r="S66" s="16">
        <f t="shared" si="20"/>
        <v>1.1533308495529697</v>
      </c>
      <c r="T66" s="16">
        <f t="shared" si="21"/>
        <v>13.365831115307845</v>
      </c>
    </row>
    <row r="67" spans="1:20" ht="12">
      <c r="A67" s="281">
        <v>15150.3</v>
      </c>
      <c r="B67" s="16">
        <f t="shared" si="17"/>
        <v>6.60052936245487E-05</v>
      </c>
      <c r="C67" s="16">
        <v>1087.5</v>
      </c>
      <c r="D67" s="16">
        <v>15019.2</v>
      </c>
      <c r="E67" s="16">
        <v>-10.2383</v>
      </c>
      <c r="F67" s="16">
        <v>0.0199585</v>
      </c>
      <c r="G67" s="16">
        <v>6.41183</v>
      </c>
      <c r="H67" s="16">
        <v>-0.00941688</v>
      </c>
      <c r="I67" s="16">
        <v>2.2611E-05</v>
      </c>
      <c r="J67" s="16">
        <f t="shared" si="18"/>
        <v>12636.003186298356</v>
      </c>
      <c r="K67" s="16">
        <f t="shared" si="22"/>
        <v>11189.1</v>
      </c>
      <c r="L67" s="16">
        <f t="shared" si="23"/>
        <v>-4.31589</v>
      </c>
      <c r="M67" s="16">
        <f t="shared" si="24"/>
        <v>0.000960342</v>
      </c>
      <c r="N67" s="16">
        <f t="shared" si="25"/>
        <v>3.56969</v>
      </c>
      <c r="O67" s="16">
        <f t="shared" si="26"/>
        <v>-0.00249074</v>
      </c>
      <c r="P67" s="16">
        <f t="shared" si="27"/>
        <v>1.27366E-06</v>
      </c>
      <c r="Q67" s="16">
        <f t="shared" si="19"/>
        <v>4.477360141359999</v>
      </c>
      <c r="R67" s="16">
        <f t="shared" si="28"/>
        <v>1750</v>
      </c>
      <c r="S67" s="16">
        <f t="shared" si="20"/>
        <v>1.3486614560304138</v>
      </c>
      <c r="T67" s="16">
        <f t="shared" si="21"/>
        <v>13.05712449142237</v>
      </c>
    </row>
    <row r="68" spans="1:20" ht="12">
      <c r="A68" s="281">
        <v>14894.3</v>
      </c>
      <c r="B68" s="16">
        <f t="shared" si="17"/>
        <v>6.713977830445204E-05</v>
      </c>
      <c r="C68" s="16">
        <v>1105</v>
      </c>
      <c r="D68" s="16">
        <v>14846</v>
      </c>
      <c r="E68" s="16">
        <v>-9.58136</v>
      </c>
      <c r="F68" s="16">
        <v>0.0164795</v>
      </c>
      <c r="G68" s="16">
        <v>6.25378</v>
      </c>
      <c r="H68" s="16">
        <v>-0.00866849</v>
      </c>
      <c r="I68" s="16">
        <v>2.0396E-05</v>
      </c>
      <c r="J68" s="16">
        <f t="shared" si="18"/>
        <v>13228.03699684895</v>
      </c>
      <c r="K68" s="16">
        <f t="shared" si="22"/>
        <v>12977.5</v>
      </c>
      <c r="L68" s="16">
        <f t="shared" si="23"/>
        <v>-5.5464</v>
      </c>
      <c r="M68" s="16">
        <f t="shared" si="24"/>
        <v>0.00306207</v>
      </c>
      <c r="N68" s="16">
        <f t="shared" si="25"/>
        <v>4.72557</v>
      </c>
      <c r="O68" s="16">
        <f t="shared" si="26"/>
        <v>-0.00405656</v>
      </c>
      <c r="P68" s="16">
        <f t="shared" si="27"/>
        <v>3.72586E-06</v>
      </c>
      <c r="Q68" s="16">
        <f t="shared" si="19"/>
        <v>4.9156600665</v>
      </c>
      <c r="R68" s="16">
        <f t="shared" si="28"/>
        <v>1375</v>
      </c>
      <c r="S68" s="16">
        <f t="shared" si="20"/>
        <v>1.5707602199839685</v>
      </c>
      <c r="T68" s="16">
        <f t="shared" si="21"/>
        <v>12.785106409612036</v>
      </c>
    </row>
    <row r="69" spans="1:20" ht="12">
      <c r="A69" s="281">
        <v>14798.5</v>
      </c>
      <c r="B69" s="16">
        <f t="shared" si="17"/>
        <v>6.757441632597898E-05</v>
      </c>
      <c r="C69" s="16">
        <v>1115</v>
      </c>
      <c r="D69" s="16">
        <v>14751.9</v>
      </c>
      <c r="E69" s="16">
        <v>-9.231361</v>
      </c>
      <c r="F69" s="16">
        <v>0.0165939</v>
      </c>
      <c r="G69" s="16">
        <v>6.16907</v>
      </c>
      <c r="H69" s="16">
        <v>-0.00828369</v>
      </c>
      <c r="I69" s="16">
        <v>1.83284E-05</v>
      </c>
      <c r="J69" s="16">
        <f t="shared" si="18"/>
        <v>13820.070807399545</v>
      </c>
      <c r="K69" s="16">
        <f t="shared" si="22"/>
        <v>12977.5</v>
      </c>
      <c r="L69" s="16">
        <f t="shared" si="23"/>
        <v>-5.5464</v>
      </c>
      <c r="M69" s="16">
        <f t="shared" si="24"/>
        <v>0.00306207</v>
      </c>
      <c r="N69" s="16">
        <f t="shared" si="25"/>
        <v>4.72557</v>
      </c>
      <c r="O69" s="16">
        <f t="shared" si="26"/>
        <v>-0.00405656</v>
      </c>
      <c r="P69" s="16">
        <f t="shared" si="27"/>
        <v>3.72586E-06</v>
      </c>
      <c r="Q69" s="16">
        <f t="shared" si="19"/>
        <v>5.371618782660001</v>
      </c>
      <c r="R69" s="16">
        <f t="shared" si="28"/>
        <v>1375</v>
      </c>
      <c r="S69" s="16">
        <f t="shared" si="20"/>
        <v>1.8018071845497032</v>
      </c>
      <c r="T69" s="16">
        <f t="shared" si="21"/>
        <v>12.533974528173081</v>
      </c>
    </row>
    <row r="70" spans="1:20" ht="12">
      <c r="A70" s="281">
        <v>14706.2</v>
      </c>
      <c r="B70" s="16">
        <f t="shared" si="17"/>
        <v>6.799853123172539E-05</v>
      </c>
      <c r="C70" s="16">
        <v>1125</v>
      </c>
      <c r="D70" s="16">
        <v>14661.2</v>
      </c>
      <c r="E70" s="16">
        <v>-8.930021</v>
      </c>
      <c r="F70" s="16">
        <v>0.0147629</v>
      </c>
      <c r="G70" s="16">
        <v>6.08802</v>
      </c>
      <c r="H70" s="16">
        <v>-0.00793184</v>
      </c>
      <c r="I70" s="16">
        <v>1.70991E-05</v>
      </c>
      <c r="J70" s="16">
        <f t="shared" si="18"/>
        <v>14412.104617950139</v>
      </c>
      <c r="K70" s="16">
        <f t="shared" si="22"/>
        <v>14062.5</v>
      </c>
      <c r="L70" s="16">
        <f t="shared" si="23"/>
        <v>-7.2568</v>
      </c>
      <c r="M70" s="16">
        <f t="shared" si="24"/>
        <v>0.00850001</v>
      </c>
      <c r="N70" s="16">
        <f t="shared" si="25"/>
        <v>5.57228</v>
      </c>
      <c r="O70" s="16">
        <f t="shared" si="26"/>
        <v>-0.006058</v>
      </c>
      <c r="P70" s="16">
        <f t="shared" si="27"/>
        <v>9.6174E-06</v>
      </c>
      <c r="Q70" s="16">
        <f t="shared" si="19"/>
        <v>5.871298418399999</v>
      </c>
      <c r="R70" s="16">
        <f t="shared" si="28"/>
        <v>1200</v>
      </c>
      <c r="S70" s="16">
        <f t="shared" si="20"/>
        <v>2.0550087552211282</v>
      </c>
      <c r="T70" s="16">
        <f t="shared" si="21"/>
        <v>12.32123032261745</v>
      </c>
    </row>
    <row r="71" spans="1:20" ht="12">
      <c r="A71" s="281">
        <v>14616.9</v>
      </c>
      <c r="B71" s="16">
        <f t="shared" si="17"/>
        <v>6.841395918423196E-05</v>
      </c>
      <c r="C71" s="16">
        <v>1140</v>
      </c>
      <c r="D71" s="16">
        <v>14530.6</v>
      </c>
      <c r="E71" s="16">
        <v>-8.482001</v>
      </c>
      <c r="F71" s="16">
        <v>0.0116909</v>
      </c>
      <c r="G71" s="16">
        <v>5.97274</v>
      </c>
      <c r="H71" s="16">
        <v>-0.00745342</v>
      </c>
      <c r="I71" s="16">
        <v>1.50953E-05</v>
      </c>
      <c r="J71" s="16">
        <f t="shared" si="18"/>
        <v>15004.138428500735</v>
      </c>
      <c r="K71" s="16">
        <f t="shared" si="22"/>
        <v>14062.5</v>
      </c>
      <c r="L71" s="16">
        <f t="shared" si="23"/>
        <v>-7.2568</v>
      </c>
      <c r="M71" s="16">
        <f t="shared" si="24"/>
        <v>0.00850001</v>
      </c>
      <c r="N71" s="16">
        <f t="shared" si="25"/>
        <v>5.57228</v>
      </c>
      <c r="O71" s="16">
        <f t="shared" si="26"/>
        <v>-0.006058</v>
      </c>
      <c r="P71" s="16">
        <f t="shared" si="27"/>
        <v>9.6174E-06</v>
      </c>
      <c r="Q71" s="16">
        <f t="shared" si="19"/>
        <v>6.396140115000001</v>
      </c>
      <c r="R71" s="16">
        <f t="shared" si="28"/>
        <v>1200</v>
      </c>
      <c r="S71" s="16">
        <f t="shared" si="20"/>
        <v>2.3209606420459172</v>
      </c>
      <c r="T71" s="16">
        <f t="shared" si="21"/>
        <v>12.135206429481315</v>
      </c>
    </row>
    <row r="72" spans="1:20" ht="12">
      <c r="A72" s="281">
        <v>14447.1</v>
      </c>
      <c r="B72" s="16">
        <f t="shared" si="17"/>
        <v>6.921804375964726E-05</v>
      </c>
      <c r="C72" s="16">
        <v>1200</v>
      </c>
      <c r="D72" s="16">
        <v>14062.5</v>
      </c>
      <c r="E72" s="16">
        <v>-7.2568</v>
      </c>
      <c r="F72" s="16">
        <v>0.00850001</v>
      </c>
      <c r="G72" s="16">
        <v>5.57228</v>
      </c>
      <c r="H72" s="16">
        <v>-0.006058</v>
      </c>
      <c r="I72" s="16">
        <v>9.6174E-06</v>
      </c>
      <c r="J72" s="16">
        <f t="shared" si="18"/>
        <v>15596.172239051331</v>
      </c>
      <c r="K72" s="16">
        <f t="shared" si="22"/>
        <v>15019.2</v>
      </c>
      <c r="L72" s="16">
        <f t="shared" si="23"/>
        <v>-10.2383</v>
      </c>
      <c r="M72" s="16">
        <f t="shared" si="24"/>
        <v>0.0199585</v>
      </c>
      <c r="N72" s="16">
        <f t="shared" si="25"/>
        <v>6.41183</v>
      </c>
      <c r="O72" s="16">
        <f t="shared" si="26"/>
        <v>-0.00941688</v>
      </c>
      <c r="P72" s="16">
        <f t="shared" si="27"/>
        <v>2.2611E-05</v>
      </c>
      <c r="Q72" s="16">
        <f t="shared" si="19"/>
        <v>6.9567693447500005</v>
      </c>
      <c r="R72" s="16">
        <f t="shared" si="28"/>
        <v>1087.5</v>
      </c>
      <c r="S72" s="16">
        <f t="shared" si="20"/>
        <v>2.6050470673948065</v>
      </c>
      <c r="T72" s="16">
        <f t="shared" si="21"/>
        <v>12.001678508131324</v>
      </c>
    </row>
    <row r="73" spans="1:20" ht="12">
      <c r="A73" s="281">
        <v>13720.5</v>
      </c>
      <c r="B73" s="16">
        <f t="shared" si="17"/>
        <v>7.288364126671769E-05</v>
      </c>
      <c r="C73" s="16">
        <v>1375</v>
      </c>
      <c r="D73" s="16">
        <v>12977.5</v>
      </c>
      <c r="E73" s="16">
        <v>-5.5464</v>
      </c>
      <c r="F73" s="16">
        <v>0.00306207</v>
      </c>
      <c r="G73" s="16">
        <v>4.72557</v>
      </c>
      <c r="H73" s="16">
        <v>-0.00405656</v>
      </c>
      <c r="I73" s="16">
        <v>3.72586E-06</v>
      </c>
      <c r="J73" s="16">
        <f t="shared" si="18"/>
        <v>16188.206049601926</v>
      </c>
      <c r="K73" s="16">
        <f t="shared" si="22"/>
        <v>15747.2</v>
      </c>
      <c r="L73" s="16">
        <f t="shared" si="23"/>
        <v>-13.2423</v>
      </c>
      <c r="M73" s="16">
        <f t="shared" si="24"/>
        <v>0.0276581</v>
      </c>
      <c r="N73" s="16">
        <f t="shared" si="25"/>
        <v>7.10211</v>
      </c>
      <c r="O73" s="16">
        <f t="shared" si="26"/>
        <v>-0.0129298</v>
      </c>
      <c r="P73" s="16">
        <f t="shared" si="27"/>
        <v>3.32035E-05</v>
      </c>
      <c r="Q73" s="16">
        <f t="shared" si="19"/>
        <v>7.549863983999999</v>
      </c>
      <c r="R73" s="16">
        <f t="shared" si="28"/>
        <v>1025</v>
      </c>
      <c r="S73" s="16">
        <f t="shared" si="20"/>
        <v>2.9055846188051304</v>
      </c>
      <c r="T73" s="16">
        <f t="shared" si="21"/>
        <v>11.883526656521735</v>
      </c>
    </row>
    <row r="74" spans="1:20" ht="12">
      <c r="A74" s="281">
        <v>12330.3</v>
      </c>
      <c r="B74" s="16">
        <f t="shared" si="17"/>
        <v>8.110102755001906E-05</v>
      </c>
      <c r="C74" s="16">
        <v>1750</v>
      </c>
      <c r="D74" s="16">
        <v>11189.1</v>
      </c>
      <c r="E74" s="16">
        <v>-4.31589</v>
      </c>
      <c r="F74" s="16">
        <v>0.000960342</v>
      </c>
      <c r="G74" s="16">
        <v>3.56969</v>
      </c>
      <c r="H74" s="16">
        <v>-0.00249074</v>
      </c>
      <c r="I74" s="16">
        <v>1.27366E-06</v>
      </c>
      <c r="J74" s="16">
        <f t="shared" si="18"/>
        <v>16780.23986015252</v>
      </c>
      <c r="K74" s="16">
        <f t="shared" si="22"/>
        <v>16906.5</v>
      </c>
      <c r="L74" s="16">
        <f t="shared" si="23"/>
        <v>-17.8388</v>
      </c>
      <c r="M74" s="16">
        <f t="shared" si="24"/>
        <v>0.0325134</v>
      </c>
      <c r="N74" s="16">
        <f t="shared" si="25"/>
        <v>8.27886</v>
      </c>
      <c r="O74" s="16">
        <f t="shared" si="26"/>
        <v>-0.01884</v>
      </c>
      <c r="P74" s="16">
        <f t="shared" si="27"/>
        <v>4.41677E-05</v>
      </c>
      <c r="Q74" s="16">
        <f t="shared" si="19"/>
        <v>8.1491442173</v>
      </c>
      <c r="R74" s="16">
        <f t="shared" si="28"/>
        <v>950</v>
      </c>
      <c r="S74" s="16">
        <f t="shared" si="20"/>
        <v>3.209256582780972</v>
      </c>
      <c r="T74" s="16">
        <f t="shared" si="21"/>
        <v>11.783908403858824</v>
      </c>
    </row>
    <row r="75" spans="1:20" ht="12">
      <c r="A75" s="281">
        <v>10168.1</v>
      </c>
      <c r="B75" s="16">
        <f t="shared" si="17"/>
        <v>9.834679045249358E-05</v>
      </c>
      <c r="C75" s="16">
        <v>2250</v>
      </c>
      <c r="D75" s="16">
        <v>9222.059</v>
      </c>
      <c r="E75" s="16">
        <v>-3.66916</v>
      </c>
      <c r="F75" s="16">
        <v>0.00045401</v>
      </c>
      <c r="G75" s="16">
        <v>2.57801</v>
      </c>
      <c r="H75" s="16">
        <v>-0.00163915</v>
      </c>
      <c r="I75" s="16">
        <v>5.68494E-07</v>
      </c>
      <c r="J75" s="16">
        <f t="shared" si="18"/>
        <v>17372.273670703114</v>
      </c>
      <c r="K75" s="16">
        <f t="shared" si="22"/>
        <v>16906.5</v>
      </c>
      <c r="L75" s="16">
        <f t="shared" si="23"/>
        <v>-17.8388</v>
      </c>
      <c r="M75" s="16">
        <f t="shared" si="24"/>
        <v>0.0325134</v>
      </c>
      <c r="N75" s="16">
        <f t="shared" si="25"/>
        <v>8.27886</v>
      </c>
      <c r="O75" s="16">
        <f t="shared" si="26"/>
        <v>-0.01884</v>
      </c>
      <c r="P75" s="16">
        <f t="shared" si="27"/>
        <v>4.41677E-05</v>
      </c>
      <c r="Q75" s="16">
        <f t="shared" si="19"/>
        <v>8.7774648125</v>
      </c>
      <c r="R75" s="16">
        <f t="shared" si="28"/>
        <v>950</v>
      </c>
      <c r="S75" s="16">
        <f t="shared" si="20"/>
        <v>3.5276441059271537</v>
      </c>
      <c r="T75" s="16">
        <f t="shared" si="21"/>
        <v>11.694822938293258</v>
      </c>
    </row>
    <row r="76" spans="1:20" ht="12">
      <c r="A76" s="281">
        <v>8332.83</v>
      </c>
      <c r="B76" s="16">
        <f t="shared" si="17"/>
        <v>0.00012000724843780564</v>
      </c>
      <c r="C76" s="16">
        <v>2750</v>
      </c>
      <c r="D76" s="16">
        <v>7492.73</v>
      </c>
      <c r="E76" s="16">
        <v>-3.26733</v>
      </c>
      <c r="F76" s="16">
        <v>0.000371407</v>
      </c>
      <c r="G76" s="16">
        <v>1.88267</v>
      </c>
      <c r="H76" s="16">
        <v>-0.0011924</v>
      </c>
      <c r="I76" s="16">
        <v>3.52828E-07</v>
      </c>
      <c r="J76" s="16">
        <f t="shared" si="18"/>
        <v>17964.30748125371</v>
      </c>
      <c r="K76" s="16">
        <f t="shared" si="22"/>
        <v>16906.5</v>
      </c>
      <c r="L76" s="16">
        <f t="shared" si="23"/>
        <v>-17.8388</v>
      </c>
      <c r="M76" s="16">
        <f t="shared" si="24"/>
        <v>0.0325134</v>
      </c>
      <c r="N76" s="16">
        <f t="shared" si="25"/>
        <v>8.27886</v>
      </c>
      <c r="O76" s="16">
        <f t="shared" si="26"/>
        <v>-0.01884</v>
      </c>
      <c r="P76" s="16">
        <f t="shared" si="27"/>
        <v>4.41677E-05</v>
      </c>
      <c r="Q76" s="16">
        <f t="shared" si="19"/>
        <v>9.4250130132</v>
      </c>
      <c r="R76" s="16">
        <f t="shared" si="28"/>
        <v>950</v>
      </c>
      <c r="S76" s="16">
        <f t="shared" si="20"/>
        <v>3.855774791621156</v>
      </c>
      <c r="T76" s="16">
        <f t="shared" si="21"/>
        <v>11.613653563883464</v>
      </c>
    </row>
    <row r="77" spans="1:20" ht="12">
      <c r="A77" s="281">
        <v>6699.05</v>
      </c>
      <c r="B77" s="16">
        <f t="shared" si="17"/>
        <v>0.00014927489718691454</v>
      </c>
      <c r="C77" s="16">
        <v>3250</v>
      </c>
      <c r="D77" s="16">
        <v>5950.45</v>
      </c>
      <c r="E77" s="16">
        <v>-2.90704</v>
      </c>
      <c r="F77" s="16">
        <v>0.000348885</v>
      </c>
      <c r="G77" s="16">
        <v>1.36656</v>
      </c>
      <c r="H77" s="16">
        <v>-0.000897071</v>
      </c>
      <c r="I77" s="16">
        <v>2.45908E-07</v>
      </c>
      <c r="J77" s="16">
        <f t="shared" si="18"/>
        <v>18556.341291804303</v>
      </c>
      <c r="K77" s="16">
        <f t="shared" si="22"/>
        <v>19020.1</v>
      </c>
      <c r="L77" s="16">
        <f t="shared" si="23"/>
        <v>-24.4588</v>
      </c>
      <c r="M77" s="16">
        <f t="shared" si="24"/>
        <v>0.0330303</v>
      </c>
      <c r="N77" s="16">
        <f t="shared" si="25"/>
        <v>10.6366</v>
      </c>
      <c r="O77" s="16">
        <f t="shared" si="26"/>
        <v>-0.0288527</v>
      </c>
      <c r="P77" s="16">
        <f t="shared" si="27"/>
        <v>5.58719E-05</v>
      </c>
      <c r="Q77" s="16">
        <f t="shared" si="19"/>
        <v>10.108568455899999</v>
      </c>
      <c r="R77" s="16">
        <f t="shared" si="28"/>
        <v>850</v>
      </c>
      <c r="S77" s="16">
        <f t="shared" si="20"/>
        <v>4.202151348425043</v>
      </c>
      <c r="T77" s="16">
        <f t="shared" si="21"/>
        <v>11.537709700362079</v>
      </c>
    </row>
    <row r="78" spans="1:20" ht="12">
      <c r="A78" s="281">
        <v>5245.45</v>
      </c>
      <c r="B78" s="16">
        <f t="shared" si="17"/>
        <v>0.00019064141303415342</v>
      </c>
      <c r="C78" s="16">
        <v>3750</v>
      </c>
      <c r="D78" s="16">
        <v>4582.38</v>
      </c>
      <c r="E78" s="16">
        <v>-2.57414</v>
      </c>
      <c r="F78" s="16">
        <v>0.000310524</v>
      </c>
      <c r="G78" s="16">
        <v>0.974457</v>
      </c>
      <c r="H78" s="16">
        <v>-0.0006880031</v>
      </c>
      <c r="I78" s="16">
        <v>1.74925E-07</v>
      </c>
      <c r="J78" s="16">
        <f t="shared" si="18"/>
        <v>19148.3751023549</v>
      </c>
      <c r="K78" s="16">
        <f t="shared" si="22"/>
        <v>19020.1</v>
      </c>
      <c r="L78" s="16">
        <f t="shared" si="23"/>
        <v>-24.4588</v>
      </c>
      <c r="M78" s="16">
        <f t="shared" si="24"/>
        <v>0.0330303</v>
      </c>
      <c r="N78" s="16">
        <f t="shared" si="25"/>
        <v>10.6366</v>
      </c>
      <c r="O78" s="16">
        <f t="shared" si="26"/>
        <v>-0.0288527</v>
      </c>
      <c r="P78" s="16">
        <f t="shared" si="27"/>
        <v>5.58719E-05</v>
      </c>
      <c r="Q78" s="16">
        <f t="shared" si="19"/>
        <v>10.8117275884</v>
      </c>
      <c r="R78" s="16">
        <f t="shared" si="28"/>
        <v>850</v>
      </c>
      <c r="S78" s="16">
        <f t="shared" si="20"/>
        <v>4.558461640152838</v>
      </c>
      <c r="T78" s="16">
        <f t="shared" si="21"/>
        <v>11.467071142800947</v>
      </c>
    </row>
    <row r="79" spans="1:20" ht="12">
      <c r="A79" s="281">
        <v>3958.11</v>
      </c>
      <c r="B79" s="16">
        <f t="shared" si="17"/>
        <v>0.000252645833491237</v>
      </c>
      <c r="C79" s="16">
        <v>4250</v>
      </c>
      <c r="D79" s="16">
        <v>3369.09</v>
      </c>
      <c r="E79" s="16">
        <v>-2.29123</v>
      </c>
      <c r="F79" s="16">
        <v>0.000257709</v>
      </c>
      <c r="G79" s="16">
        <v>0.670381</v>
      </c>
      <c r="H79" s="16">
        <v>-0.000540083</v>
      </c>
      <c r="I79" s="16">
        <v>1.24357E-07</v>
      </c>
      <c r="J79" s="16">
        <f t="shared" si="18"/>
        <v>19740.408912905496</v>
      </c>
      <c r="K79" s="16">
        <f t="shared" si="22"/>
        <v>19020.1</v>
      </c>
      <c r="L79" s="16">
        <f t="shared" si="23"/>
        <v>-24.4588</v>
      </c>
      <c r="M79" s="16">
        <f t="shared" si="24"/>
        <v>0.0330303</v>
      </c>
      <c r="N79" s="16">
        <f t="shared" si="25"/>
        <v>10.6366</v>
      </c>
      <c r="O79" s="16">
        <f t="shared" si="26"/>
        <v>-0.0288527</v>
      </c>
      <c r="P79" s="16">
        <f t="shared" si="27"/>
        <v>5.58719E-05</v>
      </c>
      <c r="Q79" s="16">
        <f t="shared" si="19"/>
        <v>11.5203165679</v>
      </c>
      <c r="R79" s="16">
        <f t="shared" si="28"/>
        <v>850</v>
      </c>
      <c r="S79" s="16">
        <f t="shared" si="20"/>
        <v>4.917523386393821</v>
      </c>
      <c r="T79" s="16">
        <f t="shared" si="21"/>
        <v>11.401811775525845</v>
      </c>
    </row>
    <row r="80" spans="1:20" ht="12">
      <c r="A80" s="278"/>
      <c r="B80" s="13"/>
      <c r="C80" s="13"/>
      <c r="D80" s="13"/>
      <c r="E80" s="13"/>
      <c r="F80" s="13"/>
      <c r="G80" s="13"/>
      <c r="H80" s="13"/>
      <c r="I80" s="13"/>
      <c r="J80" s="16">
        <f t="shared" si="18"/>
        <v>20332.442723456094</v>
      </c>
      <c r="K80" s="16">
        <f aca="true" t="shared" si="29" ref="K80:K99">VLOOKUP(1/J79,$B$58:$I$79,3)</f>
        <v>19020.1</v>
      </c>
      <c r="L80" s="16">
        <f aca="true" t="shared" si="30" ref="L80:L99">VLOOKUP(1/J79,$B$58:$I$79,4)</f>
        <v>-24.4588</v>
      </c>
      <c r="M80" s="16">
        <f aca="true" t="shared" si="31" ref="M80:M99">VLOOKUP(1/J79,$B$58:$I$79,5)</f>
        <v>0.0330303</v>
      </c>
      <c r="N80" s="16">
        <f aca="true" t="shared" si="32" ref="N80:N99">VLOOKUP(1/J79,$B$58:$I$79,6)</f>
        <v>10.6366</v>
      </c>
      <c r="O80" s="16">
        <f aca="true" t="shared" si="33" ref="O80:O99">VLOOKUP(1/J79,$B$58:$I$79,7)</f>
        <v>-0.0288527</v>
      </c>
      <c r="P80" s="16">
        <f aca="true" t="shared" si="34" ref="P80:P99">VLOOKUP(1/J79,$B$58:$I$79,8)</f>
        <v>5.58719E-05</v>
      </c>
      <c r="Q80" s="16">
        <f t="shared" si="19"/>
        <v>12.253410511899999</v>
      </c>
      <c r="R80" s="16">
        <f aca="true" t="shared" si="35" ref="R80:R99">VLOOKUP(1/J79,$B$58:$I$79,2)</f>
        <v>850</v>
      </c>
      <c r="S80" s="16">
        <f t="shared" si="20"/>
        <v>5.28900247978456</v>
      </c>
      <c r="T80" s="16">
        <f aca="true" t="shared" si="36" ref="T80:T98">14.0069+6.59285*((E26/$B$12)-0.65)-1.94051*((E26/$B$12)-0.65)^2</f>
        <v>11.339145953770242</v>
      </c>
    </row>
    <row r="81" spans="1:20" ht="12">
      <c r="A81" s="278"/>
      <c r="B81" s="13"/>
      <c r="C81" s="13"/>
      <c r="D81" s="13"/>
      <c r="E81" s="13"/>
      <c r="F81" s="13"/>
      <c r="G81" s="13"/>
      <c r="H81" s="13"/>
      <c r="I81" s="13"/>
      <c r="J81" s="16">
        <f t="shared" si="18"/>
        <v>20924.476534006688</v>
      </c>
      <c r="K81" s="16">
        <f t="shared" si="29"/>
        <v>21792</v>
      </c>
      <c r="L81" s="16">
        <f t="shared" si="30"/>
        <v>-30.896</v>
      </c>
      <c r="M81" s="16">
        <f t="shared" si="31"/>
        <v>0.0313196</v>
      </c>
      <c r="N81" s="16">
        <f t="shared" si="32"/>
        <v>14.1144</v>
      </c>
      <c r="O81" s="16">
        <f t="shared" si="33"/>
        <v>-0.041349</v>
      </c>
      <c r="P81" s="16">
        <f t="shared" si="34"/>
        <v>6.9381E-05</v>
      </c>
      <c r="Q81" s="16">
        <f t="shared" si="19"/>
        <v>13.011022704</v>
      </c>
      <c r="R81" s="16">
        <f t="shared" si="35"/>
        <v>750</v>
      </c>
      <c r="S81" s="16">
        <f t="shared" si="20"/>
        <v>5.672905651494678</v>
      </c>
      <c r="T81" s="16">
        <f t="shared" si="36"/>
        <v>11.279106186637485</v>
      </c>
    </row>
    <row r="82" spans="1:20" ht="12">
      <c r="A82" s="278"/>
      <c r="B82" s="13"/>
      <c r="C82" s="13"/>
      <c r="D82" s="13"/>
      <c r="E82" s="13"/>
      <c r="F82" s="13"/>
      <c r="G82" s="13"/>
      <c r="H82" s="13"/>
      <c r="I82" s="13"/>
      <c r="J82" s="16">
        <f t="shared" si="18"/>
        <v>21516.510344557282</v>
      </c>
      <c r="K82" s="16">
        <f t="shared" si="29"/>
        <v>21792</v>
      </c>
      <c r="L82" s="16">
        <f t="shared" si="30"/>
        <v>-30.896</v>
      </c>
      <c r="M82" s="16">
        <f t="shared" si="31"/>
        <v>0.0313196</v>
      </c>
      <c r="N82" s="16">
        <f t="shared" si="32"/>
        <v>14.1144</v>
      </c>
      <c r="O82" s="16">
        <f t="shared" si="33"/>
        <v>-0.041349</v>
      </c>
      <c r="P82" s="16">
        <f t="shared" si="34"/>
        <v>6.9381E-05</v>
      </c>
      <c r="Q82" s="16">
        <f t="shared" si="19"/>
        <v>13.788048384</v>
      </c>
      <c r="R82" s="16">
        <f t="shared" si="35"/>
        <v>750</v>
      </c>
      <c r="S82" s="16">
        <f t="shared" si="20"/>
        <v>6.066646177535257</v>
      </c>
      <c r="T82" s="16">
        <f t="shared" si="36"/>
        <v>11.221723505544402</v>
      </c>
    </row>
    <row r="83" spans="1:20" ht="12">
      <c r="A83" s="278"/>
      <c r="B83" s="13"/>
      <c r="C83" s="13"/>
      <c r="D83" s="13"/>
      <c r="E83" s="13"/>
      <c r="F83" s="16">
        <f>N58+O58*($B$12-$R$58)+P58*($B$12-$R$58)^2</f>
        <v>1.8158495381720001</v>
      </c>
      <c r="G83" s="16"/>
      <c r="H83" s="15" t="s">
        <v>22</v>
      </c>
      <c r="I83" s="13"/>
      <c r="J83" s="16">
        <f t="shared" si="18"/>
        <v>22108.544155107877</v>
      </c>
      <c r="K83" s="16">
        <f t="shared" si="29"/>
        <v>21792</v>
      </c>
      <c r="L83" s="16">
        <f t="shared" si="30"/>
        <v>-30.896</v>
      </c>
      <c r="M83" s="16">
        <f t="shared" si="31"/>
        <v>0.0313196</v>
      </c>
      <c r="N83" s="16">
        <f t="shared" si="32"/>
        <v>14.1144</v>
      </c>
      <c r="O83" s="16">
        <f t="shared" si="33"/>
        <v>-0.041349</v>
      </c>
      <c r="P83" s="16">
        <f t="shared" si="34"/>
        <v>6.9381E-05</v>
      </c>
      <c r="Q83" s="16">
        <f t="shared" si="19"/>
        <v>14.577634101</v>
      </c>
      <c r="R83" s="16">
        <f t="shared" si="35"/>
        <v>750</v>
      </c>
      <c r="S83" s="16">
        <f t="shared" si="20"/>
        <v>6.466751223697576</v>
      </c>
      <c r="T83" s="16">
        <f t="shared" si="36"/>
        <v>11.1670274642213</v>
      </c>
    </row>
    <row r="84" spans="1:20" ht="12">
      <c r="A84" s="278"/>
      <c r="B84" s="13"/>
      <c r="C84" s="13"/>
      <c r="D84" s="13"/>
      <c r="E84" s="13"/>
      <c r="F84" s="16">
        <f>K58+L58*($B$12-R58)+M58*($B$12-R58)^2</f>
        <v>7307.698891343</v>
      </c>
      <c r="G84" s="16"/>
      <c r="H84" s="15" t="s">
        <v>23</v>
      </c>
      <c r="I84" s="13"/>
      <c r="J84" s="16">
        <f t="shared" si="18"/>
        <v>22700.57796565847</v>
      </c>
      <c r="K84" s="16">
        <f t="shared" si="29"/>
        <v>21792</v>
      </c>
      <c r="L84" s="16">
        <f t="shared" si="30"/>
        <v>-30.896</v>
      </c>
      <c r="M84" s="16">
        <f t="shared" si="31"/>
        <v>0.0313196</v>
      </c>
      <c r="N84" s="16">
        <f t="shared" si="32"/>
        <v>14.1144</v>
      </c>
      <c r="O84" s="16">
        <f t="shared" si="33"/>
        <v>-0.041349</v>
      </c>
      <c r="P84" s="16">
        <f t="shared" si="34"/>
        <v>6.9381E-05</v>
      </c>
      <c r="Q84" s="16">
        <f t="shared" si="19"/>
        <v>15.371870421</v>
      </c>
      <c r="R84" s="16">
        <f t="shared" si="35"/>
        <v>750</v>
      </c>
      <c r="S84" s="16">
        <f t="shared" si="20"/>
        <v>6.869212859762596</v>
      </c>
      <c r="T84" s="16">
        <f t="shared" si="36"/>
        <v>11.11504613871198</v>
      </c>
    </row>
    <row r="85" spans="1:20" ht="12">
      <c r="A85" s="278"/>
      <c r="B85" s="13"/>
      <c r="C85" s="13"/>
      <c r="D85" s="13"/>
      <c r="E85" s="13"/>
      <c r="F85" s="16">
        <f>$F$86*$F$87</f>
        <v>0.9946168017249998</v>
      </c>
      <c r="G85" s="16"/>
      <c r="H85" s="15" t="s">
        <v>24</v>
      </c>
      <c r="I85" s="13"/>
      <c r="J85" s="16">
        <f t="shared" si="18"/>
        <v>23292.611776209065</v>
      </c>
      <c r="K85" s="16">
        <f t="shared" si="29"/>
        <v>21792</v>
      </c>
      <c r="L85" s="16">
        <f t="shared" si="30"/>
        <v>-30.896</v>
      </c>
      <c r="M85" s="16">
        <f t="shared" si="31"/>
        <v>0.0313196</v>
      </c>
      <c r="N85" s="16">
        <f t="shared" si="32"/>
        <v>14.1144</v>
      </c>
      <c r="O85" s="16">
        <f t="shared" si="33"/>
        <v>-0.041349</v>
      </c>
      <c r="P85" s="16">
        <f t="shared" si="34"/>
        <v>6.9381E-05</v>
      </c>
      <c r="Q85" s="16">
        <f t="shared" si="19"/>
        <v>16.211065629</v>
      </c>
      <c r="R85" s="16">
        <f t="shared" si="35"/>
        <v>750</v>
      </c>
      <c r="S85" s="16">
        <f t="shared" si="20"/>
        <v>7.29445641496743</v>
      </c>
      <c r="T85" s="16">
        <f t="shared" si="36"/>
        <v>11.062905223058976</v>
      </c>
    </row>
    <row r="86" spans="1:20" ht="12">
      <c r="A86" s="278"/>
      <c r="B86" s="13"/>
      <c r="C86" s="13"/>
      <c r="D86" s="13"/>
      <c r="E86" s="13"/>
      <c r="F86" s="16">
        <f>1-0.0000359596*$B$17+0.00000000047741*$B$17^2</f>
        <v>0.994616801725</v>
      </c>
      <c r="G86" s="16"/>
      <c r="H86" s="15" t="s">
        <v>25</v>
      </c>
      <c r="I86" s="13"/>
      <c r="J86" s="16">
        <f t="shared" si="18"/>
        <v>23884.645586759663</v>
      </c>
      <c r="K86" s="16">
        <f t="shared" si="29"/>
        <v>21792</v>
      </c>
      <c r="L86" s="16">
        <f t="shared" si="30"/>
        <v>-30.896</v>
      </c>
      <c r="M86" s="16">
        <f t="shared" si="31"/>
        <v>0.0313196</v>
      </c>
      <c r="N86" s="16">
        <f t="shared" si="32"/>
        <v>14.1144</v>
      </c>
      <c r="O86" s="16">
        <f t="shared" si="33"/>
        <v>-0.041349</v>
      </c>
      <c r="P86" s="16">
        <f t="shared" si="34"/>
        <v>6.9381E-05</v>
      </c>
      <c r="Q86" s="16">
        <f t="shared" si="19"/>
        <v>17.044920576000003</v>
      </c>
      <c r="R86" s="16">
        <f t="shared" si="35"/>
        <v>750</v>
      </c>
      <c r="S86" s="16">
        <f t="shared" si="20"/>
        <v>7.7169939113772275</v>
      </c>
      <c r="T86" s="16">
        <f t="shared" si="36"/>
        <v>11.013514487696128</v>
      </c>
    </row>
    <row r="87" spans="1:20" ht="12">
      <c r="A87" s="278"/>
      <c r="B87" s="13"/>
      <c r="C87" s="13"/>
      <c r="D87" s="13"/>
      <c r="E87" s="13"/>
      <c r="F87" s="16">
        <f>518.67/(459.67+$B$18)</f>
        <v>0.9999999999999998</v>
      </c>
      <c r="G87" s="16"/>
      <c r="H87" s="15" t="s">
        <v>26</v>
      </c>
      <c r="I87" s="13"/>
      <c r="J87" s="16">
        <f t="shared" si="18"/>
        <v>24476.679397310258</v>
      </c>
      <c r="K87" s="16">
        <f t="shared" si="29"/>
        <v>25192</v>
      </c>
      <c r="L87" s="16">
        <f t="shared" si="30"/>
        <v>-37.095</v>
      </c>
      <c r="M87" s="16">
        <f t="shared" si="31"/>
        <v>0.0311391</v>
      </c>
      <c r="N87" s="16">
        <f t="shared" si="32"/>
        <v>18.9904</v>
      </c>
      <c r="O87" s="16">
        <f t="shared" si="33"/>
        <v>-0.057305</v>
      </c>
      <c r="P87" s="16">
        <f t="shared" si="34"/>
        <v>9.20586E-05</v>
      </c>
      <c r="Q87" s="16">
        <f t="shared" si="19"/>
        <v>17.9348381546</v>
      </c>
      <c r="R87" s="16">
        <f t="shared" si="35"/>
        <v>650</v>
      </c>
      <c r="S87" s="16">
        <f t="shared" si="20"/>
        <v>8.167939902674094</v>
      </c>
      <c r="T87" s="16">
        <f t="shared" si="36"/>
        <v>10.963981401865611</v>
      </c>
    </row>
    <row r="88" spans="1:20" ht="12">
      <c r="A88" s="278"/>
      <c r="B88" s="13"/>
      <c r="C88" s="13"/>
      <c r="D88" s="13"/>
      <c r="E88" s="13"/>
      <c r="F88" s="13"/>
      <c r="G88" s="13"/>
      <c r="H88" s="13"/>
      <c r="I88" s="13"/>
      <c r="J88" s="16">
        <f t="shared" si="18"/>
        <v>25068.713207860852</v>
      </c>
      <c r="K88" s="16">
        <f t="shared" si="29"/>
        <v>25192</v>
      </c>
      <c r="L88" s="16">
        <f t="shared" si="30"/>
        <v>-37.095</v>
      </c>
      <c r="M88" s="16">
        <f t="shared" si="31"/>
        <v>0.0311391</v>
      </c>
      <c r="N88" s="16">
        <f t="shared" si="32"/>
        <v>18.9904</v>
      </c>
      <c r="O88" s="16">
        <f t="shared" si="33"/>
        <v>-0.057305</v>
      </c>
      <c r="P88" s="16">
        <f t="shared" si="34"/>
        <v>9.20586E-05</v>
      </c>
      <c r="Q88" s="16">
        <f t="shared" si="19"/>
        <v>18.819313527400002</v>
      </c>
      <c r="R88" s="16">
        <f t="shared" si="35"/>
        <v>650</v>
      </c>
      <c r="S88" s="16">
        <f t="shared" si="20"/>
        <v>8.616128176910037</v>
      </c>
      <c r="T88" s="16">
        <f t="shared" si="36"/>
        <v>10.917231990552935</v>
      </c>
    </row>
    <row r="89" spans="1:20" ht="12">
      <c r="A89" s="278"/>
      <c r="B89" s="13"/>
      <c r="C89" s="13"/>
      <c r="D89" s="13"/>
      <c r="E89" s="13"/>
      <c r="F89" s="13"/>
      <c r="G89" s="13"/>
      <c r="H89" s="13"/>
      <c r="I89" s="13"/>
      <c r="J89" s="16">
        <f t="shared" si="18"/>
        <v>25660.747018411446</v>
      </c>
      <c r="K89" s="16">
        <f t="shared" si="29"/>
        <v>25192</v>
      </c>
      <c r="L89" s="16">
        <f t="shared" si="30"/>
        <v>-37.095</v>
      </c>
      <c r="M89" s="16">
        <f t="shared" si="31"/>
        <v>0.0311391</v>
      </c>
      <c r="N89" s="16">
        <f t="shared" si="32"/>
        <v>18.9904</v>
      </c>
      <c r="O89" s="16">
        <f t="shared" si="33"/>
        <v>-0.057305</v>
      </c>
      <c r="P89" s="16">
        <f t="shared" si="34"/>
        <v>9.20586E-05</v>
      </c>
      <c r="Q89" s="16">
        <f t="shared" si="19"/>
        <v>19.750922903400003</v>
      </c>
      <c r="R89" s="16">
        <f t="shared" si="35"/>
        <v>650</v>
      </c>
      <c r="S89" s="16">
        <f t="shared" si="20"/>
        <v>9.088200561661305</v>
      </c>
      <c r="T89" s="16">
        <f t="shared" si="36"/>
        <v>10.870356483324263</v>
      </c>
    </row>
    <row r="90" spans="1:20" ht="12">
      <c r="A90" s="278"/>
      <c r="B90" s="13"/>
      <c r="C90" s="13"/>
      <c r="D90" s="13"/>
      <c r="E90" s="13"/>
      <c r="F90" s="13"/>
      <c r="G90" s="13"/>
      <c r="H90" s="13"/>
      <c r="I90" s="13"/>
      <c r="J90" s="16">
        <f t="shared" si="18"/>
        <v>26252.78082896204</v>
      </c>
      <c r="K90" s="16">
        <f t="shared" si="29"/>
        <v>25192</v>
      </c>
      <c r="L90" s="16">
        <f t="shared" si="30"/>
        <v>-37.095</v>
      </c>
      <c r="M90" s="16">
        <f t="shared" si="31"/>
        <v>0.0311391</v>
      </c>
      <c r="N90" s="16">
        <f t="shared" si="32"/>
        <v>18.9904</v>
      </c>
      <c r="O90" s="16">
        <f t="shared" si="33"/>
        <v>-0.057305</v>
      </c>
      <c r="P90" s="16">
        <f t="shared" si="34"/>
        <v>9.20586E-05</v>
      </c>
      <c r="Q90" s="16">
        <f t="shared" si="19"/>
        <v>20.6671139424</v>
      </c>
      <c r="R90" s="16">
        <f t="shared" si="35"/>
        <v>650</v>
      </c>
      <c r="S90" s="16">
        <f t="shared" si="20"/>
        <v>9.552460046173483</v>
      </c>
      <c r="T90" s="16">
        <f t="shared" si="36"/>
        <v>10.826296174592429</v>
      </c>
    </row>
    <row r="91" spans="1:20" ht="12">
      <c r="A91" s="278"/>
      <c r="B91" s="13"/>
      <c r="C91" s="13"/>
      <c r="D91" s="13"/>
      <c r="E91" s="13"/>
      <c r="F91" s="13"/>
      <c r="G91" s="13"/>
      <c r="H91" s="13"/>
      <c r="I91" s="13"/>
      <c r="J91" s="16">
        <f t="shared" si="18"/>
        <v>26844.814639512635</v>
      </c>
      <c r="K91" s="16">
        <f t="shared" si="29"/>
        <v>25192</v>
      </c>
      <c r="L91" s="16">
        <f t="shared" si="30"/>
        <v>-37.095</v>
      </c>
      <c r="M91" s="16">
        <f t="shared" si="31"/>
        <v>0.0311391</v>
      </c>
      <c r="N91" s="16">
        <f t="shared" si="32"/>
        <v>18.9904</v>
      </c>
      <c r="O91" s="16">
        <f t="shared" si="33"/>
        <v>-0.057305</v>
      </c>
      <c r="P91" s="16">
        <f t="shared" si="34"/>
        <v>9.20586E-05</v>
      </c>
      <c r="Q91" s="16">
        <f t="shared" si="19"/>
        <v>21.6900454496</v>
      </c>
      <c r="R91" s="16">
        <f t="shared" si="35"/>
        <v>650</v>
      </c>
      <c r="S91" s="16">
        <f t="shared" si="20"/>
        <v>10.070807895048194</v>
      </c>
      <c r="T91" s="16">
        <f t="shared" si="36"/>
        <v>10.77917635652652</v>
      </c>
    </row>
    <row r="92" spans="1:20" ht="12">
      <c r="A92" s="278"/>
      <c r="B92" s="13"/>
      <c r="C92" s="13"/>
      <c r="D92" s="13"/>
      <c r="E92" s="13"/>
      <c r="F92" s="13"/>
      <c r="G92" s="13"/>
      <c r="H92" s="13"/>
      <c r="I92" s="13"/>
      <c r="J92" s="16">
        <f t="shared" si="18"/>
        <v>27436.848450063233</v>
      </c>
      <c r="K92" s="16">
        <f t="shared" si="29"/>
        <v>25192</v>
      </c>
      <c r="L92" s="16">
        <f t="shared" si="30"/>
        <v>-37.095</v>
      </c>
      <c r="M92" s="16">
        <f t="shared" si="31"/>
        <v>0.0311391</v>
      </c>
      <c r="N92" s="16">
        <f t="shared" si="32"/>
        <v>18.9904</v>
      </c>
      <c r="O92" s="16">
        <f t="shared" si="33"/>
        <v>-0.057305</v>
      </c>
      <c r="P92" s="16">
        <f t="shared" si="34"/>
        <v>9.20586E-05</v>
      </c>
      <c r="Q92" s="16">
        <f t="shared" si="19"/>
        <v>22.6237751304</v>
      </c>
      <c r="R92" s="16">
        <f t="shared" si="35"/>
        <v>650</v>
      </c>
      <c r="S92" s="16">
        <f t="shared" si="20"/>
        <v>10.543954697220672</v>
      </c>
      <c r="T92" s="16">
        <f t="shared" si="36"/>
        <v>10.737843077662758</v>
      </c>
    </row>
    <row r="93" spans="1:20" ht="12">
      <c r="A93" s="278"/>
      <c r="B93" s="13"/>
      <c r="C93" s="13"/>
      <c r="D93" s="13"/>
      <c r="E93" s="13"/>
      <c r="F93" s="13"/>
      <c r="G93" s="13"/>
      <c r="H93" s="13"/>
      <c r="I93" s="13"/>
      <c r="J93" s="16">
        <f t="shared" si="18"/>
        <v>28028.882260613827</v>
      </c>
      <c r="K93" s="16">
        <f t="shared" si="29"/>
        <v>29218.7</v>
      </c>
      <c r="L93" s="16">
        <f t="shared" si="30"/>
        <v>-43.64</v>
      </c>
      <c r="M93" s="16">
        <f t="shared" si="31"/>
        <v>0.035161</v>
      </c>
      <c r="N93" s="16">
        <f t="shared" si="32"/>
        <v>25.7322</v>
      </c>
      <c r="O93" s="16">
        <f t="shared" si="33"/>
        <v>-0.079629</v>
      </c>
      <c r="P93" s="16">
        <f t="shared" si="34"/>
        <v>0.000136695</v>
      </c>
      <c r="Q93" s="16">
        <f t="shared" si="19"/>
        <v>23.681867655</v>
      </c>
      <c r="R93" s="16">
        <f t="shared" si="35"/>
        <v>550</v>
      </c>
      <c r="S93" s="16">
        <f t="shared" si="20"/>
        <v>11.080119611661607</v>
      </c>
      <c r="T93" s="16">
        <f t="shared" si="36"/>
        <v>10.693450289464925</v>
      </c>
    </row>
    <row r="94" spans="1:20" ht="12">
      <c r="A94" s="278"/>
      <c r="B94" s="13"/>
      <c r="C94" s="13"/>
      <c r="D94" s="13"/>
      <c r="E94" s="13"/>
      <c r="F94" s="13"/>
      <c r="G94" s="13"/>
      <c r="H94" s="13"/>
      <c r="I94" s="13"/>
      <c r="J94" s="16">
        <f t="shared" si="18"/>
        <v>28620.91607116442</v>
      </c>
      <c r="K94" s="16">
        <f t="shared" si="29"/>
        <v>29218.7</v>
      </c>
      <c r="L94" s="16">
        <f t="shared" si="30"/>
        <v>-43.64</v>
      </c>
      <c r="M94" s="16">
        <f t="shared" si="31"/>
        <v>0.035161</v>
      </c>
      <c r="N94" s="16">
        <f t="shared" si="32"/>
        <v>25.7322</v>
      </c>
      <c r="O94" s="16">
        <f t="shared" si="33"/>
        <v>-0.079629</v>
      </c>
      <c r="P94" s="16">
        <f t="shared" si="34"/>
        <v>0.000136695</v>
      </c>
      <c r="Q94" s="16">
        <f t="shared" si="19"/>
        <v>24.720124454999997</v>
      </c>
      <c r="R94" s="16">
        <f t="shared" si="35"/>
        <v>550</v>
      </c>
      <c r="S94" s="16">
        <f t="shared" si="20"/>
        <v>11.606233212691121</v>
      </c>
      <c r="T94" s="16">
        <f t="shared" si="36"/>
        <v>10.651917030359394</v>
      </c>
    </row>
    <row r="95" spans="1:20" ht="12">
      <c r="A95" s="278"/>
      <c r="B95" s="13"/>
      <c r="C95" s="13"/>
      <c r="D95" s="13"/>
      <c r="E95" s="13"/>
      <c r="F95" s="13"/>
      <c r="G95" s="13"/>
      <c r="H95" s="13"/>
      <c r="I95" s="13"/>
      <c r="J95" s="16">
        <f t="shared" si="18"/>
        <v>29212.949881715016</v>
      </c>
      <c r="K95" s="16">
        <f t="shared" si="29"/>
        <v>29218.7</v>
      </c>
      <c r="L95" s="16">
        <f t="shared" si="30"/>
        <v>-43.64</v>
      </c>
      <c r="M95" s="16">
        <f t="shared" si="31"/>
        <v>0.035161</v>
      </c>
      <c r="N95" s="16">
        <f t="shared" si="32"/>
        <v>25.7322</v>
      </c>
      <c r="O95" s="16">
        <f t="shared" si="33"/>
        <v>-0.079629</v>
      </c>
      <c r="P95" s="16">
        <f t="shared" si="34"/>
        <v>0.000136695</v>
      </c>
      <c r="Q95" s="16">
        <f t="shared" si="19"/>
        <v>25.7322</v>
      </c>
      <c r="R95" s="16">
        <f t="shared" si="35"/>
        <v>550</v>
      </c>
      <c r="S95" s="16">
        <f t="shared" si="20"/>
        <v>12.11908004354632</v>
      </c>
      <c r="T95" s="16">
        <f t="shared" si="36"/>
        <v>10.613263987957383</v>
      </c>
    </row>
    <row r="96" spans="1:20" ht="12">
      <c r="A96" s="278"/>
      <c r="B96" s="13"/>
      <c r="C96" s="13"/>
      <c r="D96" s="13"/>
      <c r="E96" s="13"/>
      <c r="F96" s="13"/>
      <c r="G96" s="13"/>
      <c r="H96" s="13"/>
      <c r="I96" s="13"/>
      <c r="J96" s="16">
        <f t="shared" si="18"/>
        <v>29804.98369226561</v>
      </c>
      <c r="K96" s="16">
        <f t="shared" si="29"/>
        <v>29218.7</v>
      </c>
      <c r="L96" s="16">
        <f t="shared" si="30"/>
        <v>-43.64</v>
      </c>
      <c r="M96" s="16">
        <f t="shared" si="31"/>
        <v>0.035161</v>
      </c>
      <c r="N96" s="16">
        <f t="shared" si="32"/>
        <v>25.7322</v>
      </c>
      <c r="O96" s="16">
        <f t="shared" si="33"/>
        <v>-0.079629</v>
      </c>
      <c r="P96" s="16">
        <f t="shared" si="34"/>
        <v>0.000136695</v>
      </c>
      <c r="Q96" s="16">
        <f t="shared" si="19"/>
        <v>26.87379822</v>
      </c>
      <c r="R96" s="16">
        <f t="shared" si="35"/>
        <v>550</v>
      </c>
      <c r="S96" s="16">
        <f t="shared" si="20"/>
        <v>12.697559616666465</v>
      </c>
      <c r="T96" s="16">
        <f t="shared" si="36"/>
        <v>10.57154454035089</v>
      </c>
    </row>
    <row r="97" spans="1:20" ht="12">
      <c r="A97" s="278"/>
      <c r="B97" s="13"/>
      <c r="C97" s="13"/>
      <c r="D97" s="13"/>
      <c r="E97" s="13"/>
      <c r="F97" s="13"/>
      <c r="G97" s="13"/>
      <c r="H97" s="13"/>
      <c r="I97" s="13"/>
      <c r="J97" s="16">
        <f t="shared" si="18"/>
        <v>30397.01750281621</v>
      </c>
      <c r="K97" s="16">
        <f t="shared" si="29"/>
        <v>29218.7</v>
      </c>
      <c r="L97" s="16">
        <f t="shared" si="30"/>
        <v>-43.64</v>
      </c>
      <c r="M97" s="16">
        <f t="shared" si="31"/>
        <v>0.035161</v>
      </c>
      <c r="N97" s="16">
        <f t="shared" si="32"/>
        <v>25.7322</v>
      </c>
      <c r="O97" s="16">
        <f t="shared" si="33"/>
        <v>-0.079629</v>
      </c>
      <c r="P97" s="16">
        <f t="shared" si="34"/>
        <v>0.000136695</v>
      </c>
      <c r="Q97" s="16">
        <f t="shared" si="19"/>
        <v>27.981833655</v>
      </c>
      <c r="R97" s="16">
        <f t="shared" si="35"/>
        <v>550</v>
      </c>
      <c r="S97" s="16">
        <f t="shared" si="20"/>
        <v>13.259031993034387</v>
      </c>
      <c r="T97" s="16">
        <f t="shared" si="36"/>
        <v>10.53271860862656</v>
      </c>
    </row>
    <row r="98" spans="1:20" ht="12">
      <c r="A98" s="278"/>
      <c r="B98" s="13"/>
      <c r="C98" s="13"/>
      <c r="D98" s="13"/>
      <c r="E98" s="13"/>
      <c r="F98" s="13"/>
      <c r="G98" s="13"/>
      <c r="H98" s="13"/>
      <c r="I98" s="13"/>
      <c r="J98" s="16">
        <f t="shared" si="18"/>
        <v>30989.051313366803</v>
      </c>
      <c r="K98" s="16">
        <f t="shared" si="29"/>
        <v>29218.7</v>
      </c>
      <c r="L98" s="16">
        <f t="shared" si="30"/>
        <v>-43.64</v>
      </c>
      <c r="M98" s="16">
        <f t="shared" si="31"/>
        <v>0.035161</v>
      </c>
      <c r="N98" s="16">
        <f t="shared" si="32"/>
        <v>25.7322</v>
      </c>
      <c r="O98" s="16">
        <f t="shared" si="33"/>
        <v>-0.079629</v>
      </c>
      <c r="P98" s="16">
        <f t="shared" si="34"/>
        <v>0.000136695</v>
      </c>
      <c r="Q98" s="16">
        <f t="shared" si="19"/>
        <v>29.136072</v>
      </c>
      <c r="R98" s="16">
        <f t="shared" si="35"/>
        <v>550</v>
      </c>
      <c r="S98" s="16">
        <f t="shared" si="20"/>
        <v>13.843916669093623</v>
      </c>
      <c r="T98" s="16">
        <f t="shared" si="36"/>
        <v>10.493809433895187</v>
      </c>
    </row>
    <row r="99" spans="1:20" ht="12">
      <c r="A99" s="278"/>
      <c r="B99" s="13"/>
      <c r="C99" s="13"/>
      <c r="D99" s="13"/>
      <c r="E99" s="13"/>
      <c r="F99" s="13"/>
      <c r="G99" s="13"/>
      <c r="H99" s="13"/>
      <c r="I99" s="13"/>
      <c r="J99" s="16" t="e">
        <f>$F$84+3*#REF!/($B$14/$F$85)</f>
        <v>#REF!</v>
      </c>
      <c r="K99" s="16">
        <f t="shared" si="29"/>
        <v>29218.7</v>
      </c>
      <c r="L99" s="16">
        <f t="shared" si="30"/>
        <v>-43.64</v>
      </c>
      <c r="M99" s="16">
        <f t="shared" si="31"/>
        <v>0.035161</v>
      </c>
      <c r="N99" s="16">
        <f t="shared" si="32"/>
        <v>25.7322</v>
      </c>
      <c r="O99" s="16">
        <f t="shared" si="33"/>
        <v>-0.079629</v>
      </c>
      <c r="P99" s="16">
        <f t="shared" si="34"/>
        <v>0.000136695</v>
      </c>
      <c r="Q99" s="16" t="e">
        <f>N99+O99*(#REF!-R99)+P99*(#REF!-R99)^2</f>
        <v>#REF!</v>
      </c>
      <c r="R99" s="16">
        <f t="shared" si="35"/>
        <v>550</v>
      </c>
      <c r="S99" s="16" t="e">
        <f t="shared" si="20"/>
        <v>#REF!</v>
      </c>
      <c r="T99" s="16" t="e">
        <f>14.0069+6.59285*((#REF!/$B$12)-0.65)-1.94051*((#REF!/$B$12)-0.65)^2</f>
        <v>#REF!</v>
      </c>
    </row>
    <row r="100" spans="1:20" ht="12">
      <c r="A100" s="278"/>
      <c r="B100" s="13"/>
      <c r="C100" s="13"/>
      <c r="D100" s="13"/>
      <c r="E100" s="13"/>
      <c r="F100" s="13"/>
      <c r="G100" s="13"/>
      <c r="H100" s="13"/>
      <c r="I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ht="12">
      <c r="A101" s="278"/>
      <c r="B101" s="13"/>
      <c r="C101" s="13"/>
      <c r="D101" s="13"/>
      <c r="E101" s="13"/>
      <c r="F101" s="13"/>
      <c r="G101" s="13"/>
      <c r="H101" s="13"/>
      <c r="I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ht="12">
      <c r="A102" s="278"/>
      <c r="B102" s="13"/>
      <c r="C102" s="13"/>
      <c r="D102" s="13"/>
      <c r="E102" s="13"/>
      <c r="F102" s="13"/>
      <c r="G102" s="13"/>
      <c r="H102" s="13"/>
      <c r="I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ht="12">
      <c r="A103" s="278"/>
      <c r="B103" s="13"/>
      <c r="C103" s="13"/>
      <c r="D103" s="13"/>
      <c r="E103" s="13"/>
      <c r="F103" s="13"/>
      <c r="G103" s="13"/>
      <c r="H103" s="13"/>
      <c r="I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ht="12">
      <c r="A104" s="278"/>
      <c r="B104" s="13"/>
      <c r="C104" s="13"/>
      <c r="D104" s="13"/>
      <c r="E104" s="13"/>
      <c r="F104" s="13"/>
      <c r="G104" s="13"/>
      <c r="H104" s="13"/>
      <c r="I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ht="12">
      <c r="A105" s="278"/>
      <c r="B105" s="13"/>
      <c r="C105" s="13"/>
      <c r="D105" s="13"/>
      <c r="E105" s="13"/>
      <c r="F105" s="13"/>
      <c r="G105" s="13"/>
      <c r="H105" s="13"/>
      <c r="I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ht="12">
      <c r="A106" s="278"/>
      <c r="B106" s="13"/>
      <c r="C106" s="13"/>
      <c r="D106" s="13"/>
      <c r="E106" s="13"/>
      <c r="F106" s="13"/>
      <c r="G106" s="13"/>
      <c r="H106" s="13"/>
      <c r="I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ht="12">
      <c r="A107" s="278"/>
      <c r="B107" s="13"/>
      <c r="C107" s="13"/>
      <c r="D107" s="13"/>
      <c r="E107" s="13"/>
      <c r="F107" s="13"/>
      <c r="G107" s="13"/>
      <c r="H107" s="13"/>
      <c r="I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ht="12">
      <c r="A108" s="278"/>
      <c r="B108" s="13"/>
      <c r="C108" s="13"/>
      <c r="D108" s="13"/>
      <c r="E108" s="13"/>
      <c r="F108" s="13"/>
      <c r="G108" s="13"/>
      <c r="H108" s="13"/>
      <c r="I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ht="12">
      <c r="A109" s="278"/>
      <c r="B109" s="13"/>
      <c r="C109" s="13"/>
      <c r="D109" s="13"/>
      <c r="E109" s="13"/>
      <c r="F109" s="13"/>
      <c r="G109" s="13"/>
      <c r="H109" s="13"/>
      <c r="I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ht="12">
      <c r="A110" s="278"/>
      <c r="B110" s="13"/>
      <c r="C110" s="13"/>
      <c r="D110" s="13"/>
      <c r="E110" s="13"/>
      <c r="F110" s="13"/>
      <c r="G110" s="13"/>
      <c r="H110" s="13"/>
      <c r="I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23" spans="10:11" ht="12">
      <c r="J123" s="13"/>
      <c r="K123" s="13"/>
    </row>
  </sheetData>
  <sheetProtection password="CC63" sheet="1" objects="1" scenarios="1" selectLockedCells="1"/>
  <printOptions/>
  <pageMargins left="0.5118110236220472" right="0.2362204724409449" top="0.5118110236220472" bottom="0.5118110236220472" header="0.5118110236220472" footer="0.2362204724409449"/>
  <pageSetup horizontalDpi="300" verticalDpi="300" orientation="landscape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28"/>
  <sheetViews>
    <sheetView zoomScale="75" zoomScaleNormal="75" zoomScalePageLayoutView="0" workbookViewId="0" topLeftCell="A1">
      <selection activeCell="D35" sqref="D35"/>
    </sheetView>
  </sheetViews>
  <sheetFormatPr defaultColWidth="9.00390625" defaultRowHeight="12.75"/>
  <cols>
    <col min="1" max="1" width="20.00390625" style="0" customWidth="1"/>
    <col min="2" max="2" width="6.50390625" style="0" customWidth="1"/>
    <col min="3" max="18" width="5.625" style="0" customWidth="1"/>
    <col min="19" max="36" width="6.125" style="0" customWidth="1"/>
    <col min="37" max="42" width="6.75390625" style="0" customWidth="1"/>
    <col min="43" max="43" width="20.50390625" style="0" customWidth="1"/>
  </cols>
  <sheetData>
    <row r="1" spans="1:10" ht="22.5" customHeight="1">
      <c r="A1" s="51" t="s">
        <v>146</v>
      </c>
      <c r="B1" s="3"/>
      <c r="C1" s="52" t="str">
        <f>Ballistics!B3</f>
        <v>Home load</v>
      </c>
      <c r="D1" s="3"/>
      <c r="E1" s="3"/>
      <c r="F1" s="3"/>
      <c r="G1" s="3"/>
      <c r="H1" s="3"/>
      <c r="I1" s="3"/>
      <c r="J1" s="3"/>
    </row>
    <row r="2" spans="2:13" ht="15.75" customHeight="1">
      <c r="B2" s="181" t="s">
        <v>53</v>
      </c>
      <c r="C2" s="182"/>
      <c r="D2" s="183">
        <f>Ballistics!B12</f>
        <v>2807</v>
      </c>
      <c r="E2" s="181" t="s">
        <v>120</v>
      </c>
      <c r="F2" s="183" t="str">
        <f>Ballistics!B8</f>
        <v>Sierra Palma</v>
      </c>
      <c r="G2" s="262"/>
      <c r="H2" s="263"/>
      <c r="I2" s="181" t="s">
        <v>121</v>
      </c>
      <c r="J2" s="183">
        <f>Ballistics!B18</f>
        <v>59</v>
      </c>
      <c r="K2" s="181" t="s">
        <v>122</v>
      </c>
      <c r="L2" s="125"/>
      <c r="M2" s="183">
        <f>Ballistics!B17</f>
        <v>150</v>
      </c>
    </row>
    <row r="3" spans="1:44" s="23" customFormat="1" ht="18">
      <c r="A3" s="170" t="s">
        <v>29</v>
      </c>
      <c r="B3" s="199">
        <f>Ballistics!$D4</f>
        <v>0</v>
      </c>
      <c r="C3" s="200">
        <f>Ballistics!$D5</f>
        <v>100</v>
      </c>
      <c r="D3" s="199">
        <f>Ballistics!$D6</f>
        <v>200</v>
      </c>
      <c r="E3" s="200">
        <f>Ballistics!$D7</f>
        <v>300</v>
      </c>
      <c r="F3" s="199">
        <f>Ballistics!$D8</f>
        <v>400</v>
      </c>
      <c r="G3" s="200">
        <f>Ballistics!$D9</f>
        <v>500</v>
      </c>
      <c r="H3" s="199">
        <f>Ballistics!$D10</f>
        <v>600</v>
      </c>
      <c r="I3" s="200">
        <f>Ballistics!$D11</f>
        <v>700</v>
      </c>
      <c r="J3" s="199">
        <f>Ballistics!$D12</f>
        <v>800</v>
      </c>
      <c r="K3" s="200">
        <f>Ballistics!$D13</f>
        <v>900</v>
      </c>
      <c r="L3" s="199">
        <f>Ballistics!$D14</f>
        <v>1000</v>
      </c>
      <c r="M3" s="200">
        <f>Ballistics!$D15</f>
        <v>1100</v>
      </c>
      <c r="N3" s="199">
        <f>Ballistics!$D16</f>
        <v>1200</v>
      </c>
      <c r="O3" s="200">
        <f>Ballistics!$D17</f>
        <v>1300</v>
      </c>
      <c r="P3" s="199">
        <f>Ballistics!$D18</f>
        <v>1400</v>
      </c>
      <c r="Q3" s="200">
        <f>Ballistics!$D19</f>
        <v>1500</v>
      </c>
      <c r="R3" s="199">
        <f>Ballistics!$D20</f>
        <v>1600</v>
      </c>
      <c r="S3" s="201">
        <f>Ballistics!$D21</f>
        <v>1700</v>
      </c>
      <c r="T3" s="199">
        <f>Ballistics!$D22</f>
        <v>1800</v>
      </c>
      <c r="U3" s="201">
        <f>Ballistics!$D23</f>
        <v>1900</v>
      </c>
      <c r="V3" s="199">
        <f>Ballistics!$D24</f>
        <v>2000</v>
      </c>
      <c r="W3" s="201">
        <f>Ballistics!$D25</f>
        <v>2100</v>
      </c>
      <c r="X3" s="199">
        <f>Ballistics!$D26</f>
        <v>2200</v>
      </c>
      <c r="Y3" s="201">
        <f>Ballistics!$D27</f>
        <v>2300</v>
      </c>
      <c r="Z3" s="199">
        <f>Ballistics!$D28</f>
        <v>2400</v>
      </c>
      <c r="AA3" s="201">
        <f>Ballistics!$D29</f>
        <v>2500</v>
      </c>
      <c r="AB3" s="199">
        <f>Ballistics!$D30</f>
        <v>2600</v>
      </c>
      <c r="AC3" s="201">
        <f>Ballistics!$D31</f>
        <v>2700</v>
      </c>
      <c r="AD3" s="199">
        <f>Ballistics!$D32</f>
        <v>2800</v>
      </c>
      <c r="AE3" s="201">
        <f>Ballistics!$D33</f>
        <v>2900</v>
      </c>
      <c r="AF3" s="199">
        <f>Ballistics!$D34</f>
        <v>3000</v>
      </c>
      <c r="AG3" s="201">
        <f>Ballistics!$D35</f>
        <v>3100</v>
      </c>
      <c r="AH3" s="199">
        <f>Ballistics!$D36</f>
        <v>3200</v>
      </c>
      <c r="AI3" s="201">
        <f>Ballistics!$D37</f>
        <v>3300</v>
      </c>
      <c r="AJ3" s="199">
        <f>Ballistics!$D38</f>
        <v>3400</v>
      </c>
      <c r="AK3" s="201">
        <f>Ballistics!$D39</f>
        <v>3500</v>
      </c>
      <c r="AL3" s="199">
        <f>Ballistics!$D40</f>
        <v>3600</v>
      </c>
      <c r="AM3" s="201">
        <f>Ballistics!$D41</f>
        <v>3700</v>
      </c>
      <c r="AN3" s="199">
        <f>Ballistics!$D42</f>
        <v>3800</v>
      </c>
      <c r="AO3" s="201">
        <f>Ballistics!$D43</f>
        <v>3900</v>
      </c>
      <c r="AP3" s="202">
        <f>Ballistics!$D44</f>
        <v>4000</v>
      </c>
      <c r="AQ3" s="170" t="s">
        <v>29</v>
      </c>
      <c r="AR3" s="137"/>
    </row>
    <row r="4" spans="1:43" s="23" customFormat="1" ht="15.75" customHeight="1">
      <c r="A4" s="171" t="s">
        <v>76</v>
      </c>
      <c r="B4" s="203">
        <f aca="true" t="shared" si="0" ref="B4:R4">B3*0.913</f>
        <v>0</v>
      </c>
      <c r="C4" s="204">
        <f t="shared" si="0"/>
        <v>91.3</v>
      </c>
      <c r="D4" s="203">
        <f t="shared" si="0"/>
        <v>182.6</v>
      </c>
      <c r="E4" s="204">
        <f t="shared" si="0"/>
        <v>273.90000000000003</v>
      </c>
      <c r="F4" s="203">
        <f t="shared" si="0"/>
        <v>365.2</v>
      </c>
      <c r="G4" s="204">
        <f t="shared" si="0"/>
        <v>456.5</v>
      </c>
      <c r="H4" s="203">
        <f t="shared" si="0"/>
        <v>547.8000000000001</v>
      </c>
      <c r="I4" s="204">
        <f t="shared" si="0"/>
        <v>639.1</v>
      </c>
      <c r="J4" s="203">
        <f t="shared" si="0"/>
        <v>730.4</v>
      </c>
      <c r="K4" s="204">
        <f t="shared" si="0"/>
        <v>821.7</v>
      </c>
      <c r="L4" s="203">
        <f t="shared" si="0"/>
        <v>913</v>
      </c>
      <c r="M4" s="204">
        <f t="shared" si="0"/>
        <v>1004.3000000000001</v>
      </c>
      <c r="N4" s="203">
        <f t="shared" si="0"/>
        <v>1095.6000000000001</v>
      </c>
      <c r="O4" s="204">
        <f t="shared" si="0"/>
        <v>1186.9</v>
      </c>
      <c r="P4" s="203">
        <f t="shared" si="0"/>
        <v>1278.2</v>
      </c>
      <c r="Q4" s="204">
        <f t="shared" si="0"/>
        <v>1369.5</v>
      </c>
      <c r="R4" s="203">
        <f t="shared" si="0"/>
        <v>1460.8</v>
      </c>
      <c r="S4" s="205">
        <f aca="true" t="shared" si="1" ref="S4:AP4">S3*0.913</f>
        <v>1552.1000000000001</v>
      </c>
      <c r="T4" s="203">
        <f t="shared" si="1"/>
        <v>1643.4</v>
      </c>
      <c r="U4" s="205">
        <f t="shared" si="1"/>
        <v>1734.7</v>
      </c>
      <c r="V4" s="203">
        <f t="shared" si="1"/>
        <v>1826</v>
      </c>
      <c r="W4" s="205">
        <f t="shared" si="1"/>
        <v>1917.3000000000002</v>
      </c>
      <c r="X4" s="203">
        <f t="shared" si="1"/>
        <v>2008.6000000000001</v>
      </c>
      <c r="Y4" s="205">
        <f t="shared" si="1"/>
        <v>2099.9</v>
      </c>
      <c r="Z4" s="203">
        <f t="shared" si="1"/>
        <v>2191.2000000000003</v>
      </c>
      <c r="AA4" s="205">
        <f t="shared" si="1"/>
        <v>2282.5</v>
      </c>
      <c r="AB4" s="203">
        <f t="shared" si="1"/>
        <v>2373.8</v>
      </c>
      <c r="AC4" s="205">
        <f t="shared" si="1"/>
        <v>2465.1</v>
      </c>
      <c r="AD4" s="203">
        <f t="shared" si="1"/>
        <v>2556.4</v>
      </c>
      <c r="AE4" s="205">
        <f t="shared" si="1"/>
        <v>2647.7000000000003</v>
      </c>
      <c r="AF4" s="203">
        <f t="shared" si="1"/>
        <v>2739</v>
      </c>
      <c r="AG4" s="205">
        <f t="shared" si="1"/>
        <v>2830.3</v>
      </c>
      <c r="AH4" s="203">
        <f t="shared" si="1"/>
        <v>2921.6</v>
      </c>
      <c r="AI4" s="205">
        <f t="shared" si="1"/>
        <v>3012.9</v>
      </c>
      <c r="AJ4" s="203">
        <f t="shared" si="1"/>
        <v>3104.2000000000003</v>
      </c>
      <c r="AK4" s="205">
        <f t="shared" si="1"/>
        <v>3195.5</v>
      </c>
      <c r="AL4" s="203">
        <f t="shared" si="1"/>
        <v>3286.8</v>
      </c>
      <c r="AM4" s="205">
        <f t="shared" si="1"/>
        <v>3378.1</v>
      </c>
      <c r="AN4" s="203">
        <f t="shared" si="1"/>
        <v>3469.4</v>
      </c>
      <c r="AO4" s="205">
        <f t="shared" si="1"/>
        <v>3560.7000000000003</v>
      </c>
      <c r="AP4" s="206">
        <f t="shared" si="1"/>
        <v>3652</v>
      </c>
      <c r="AQ4" s="171" t="s">
        <v>76</v>
      </c>
    </row>
    <row r="5" spans="1:43" s="5" customFormat="1" ht="12.75">
      <c r="A5" s="172" t="s">
        <v>50</v>
      </c>
      <c r="B5" s="207">
        <f>IF(B3=0,0,Ballistics!H4/1.047/(B3/100))</f>
        <v>0</v>
      </c>
      <c r="C5" s="208">
        <f>Ballistics!H5/1.047/(C3/100)</f>
        <v>0</v>
      </c>
      <c r="D5" s="207">
        <f>Ballistics!H6/1.047/(D3/100)</f>
        <v>-1.3170566529632832</v>
      </c>
      <c r="E5" s="208">
        <f>Ballistics!H7/1.047/(E3/100)</f>
        <v>-3.640019005709446</v>
      </c>
      <c r="F5" s="207">
        <f>Ballistics!H8/1.047/(F3/100)</f>
        <v>-6.372097041738434</v>
      </c>
      <c r="G5" s="208">
        <f>Ballistics!H9/1.047/(G3/100)</f>
        <v>-9.445296286020831</v>
      </c>
      <c r="H5" s="207">
        <f>Ballistics!H10/1.047/(H3/100)</f>
        <v>-12.940989261074838</v>
      </c>
      <c r="I5" s="208">
        <f>Ballistics!H11/1.047/(I3/100)</f>
        <v>-16.956350357380682</v>
      </c>
      <c r="J5" s="207">
        <f>Ballistics!H12/1.047/(J3/100)</f>
        <v>-21.39038202659771</v>
      </c>
      <c r="K5" s="208">
        <f>Ballistics!H13/1.047/(K3/100)</f>
        <v>-26.13409733242004</v>
      </c>
      <c r="L5" s="207">
        <f>Ballistics!H14/1.047/(L3/100)</f>
        <v>-32.020191035437705</v>
      </c>
      <c r="M5" s="208">
        <f>Ballistics!H15/1.047/(M3/100)</f>
        <v>-38.24482295551067</v>
      </c>
      <c r="N5" s="207">
        <f>Ballistics!H16/1.047/(N3/100)</f>
        <v>-45.52802094889953</v>
      </c>
      <c r="O5" s="208">
        <f>Ballistics!H17/1.047/(O3/100)</f>
        <v>-53.45020337558761</v>
      </c>
      <c r="P5" s="207">
        <f>Ballistics!H18/1.047/(P3/100)</f>
        <v>-62.482696655065865</v>
      </c>
      <c r="Q5" s="208">
        <f>Ballistics!H19/1.047/(Q3/100)</f>
        <v>-72.45268529498495</v>
      </c>
      <c r="R5" s="207">
        <f>Ballistics!H20/1.047/(R3/100)</f>
        <v>-82.72476049341874</v>
      </c>
      <c r="S5" s="208">
        <f>Ballistics!H21/1.047/(S3/100)</f>
        <v>-93.89632460362418</v>
      </c>
      <c r="T5" s="207">
        <f>Ballistics!H22/1.047/(T3/100)</f>
        <v>-105.71095728003932</v>
      </c>
      <c r="U5" s="209">
        <f>Ballistics!H23/1.047/(U3/100)</f>
        <v>-118.66286152300938</v>
      </c>
      <c r="V5" s="207">
        <f>Ballistics!H24/1.047/(V3/100)</f>
        <v>-132.3101236144687</v>
      </c>
      <c r="W5" s="209">
        <f>Ballistics!H25/1.047/(W3/100)</f>
        <v>-146.23554634005558</v>
      </c>
      <c r="X5" s="207">
        <f>Ballistics!H26/1.047/(X3/100)</f>
        <v>-160.99917360743112</v>
      </c>
      <c r="Y5" s="209">
        <f>Ballistics!H27/1.047/(Y3/100)</f>
        <v>-176.62643741778865</v>
      </c>
      <c r="Z5" s="207">
        <f>Ballistics!H28/1.047/(Z3/100)</f>
        <v>-192.9750420395021</v>
      </c>
      <c r="AA5" s="209">
        <f>Ballistics!H29/1.047/(AA3/100)</f>
        <v>-209.83217813354418</v>
      </c>
      <c r="AB5" s="207">
        <f>Ballistics!H30/1.047/(AB3/100)</f>
        <v>-226.93418266690654</v>
      </c>
      <c r="AC5" s="209">
        <f>Ballistics!H31/1.047/(AC3/100)</f>
        <v>-245.60864737739837</v>
      </c>
      <c r="AD5" s="207">
        <f>Ballistics!H32/1.047/(AD3/100)</f>
        <v>-264.2009364019359</v>
      </c>
      <c r="AE5" s="209">
        <f>Ballistics!H33/1.047/(AE3/100)</f>
        <v>-284.81435735660006</v>
      </c>
      <c r="AF5" s="207">
        <f>Ballistics!H34/1.047/(AF3/100)</f>
        <v>-305.35907768441433</v>
      </c>
      <c r="AG5" s="209">
        <f>Ballistics!H35/1.047/(AG3/100)</f>
        <v>-327.6715516007201</v>
      </c>
      <c r="AH5" s="207">
        <f>Ballistics!H36/1.047/(AH3/100)</f>
        <v>-349.5498076935765</v>
      </c>
      <c r="AI5" s="209">
        <f>Ballistics!H37/1.047/(AI3/100)</f>
        <v>-375.4125022807075</v>
      </c>
      <c r="AJ5" s="207">
        <f>Ballistics!H38/1.047/(AJ3/100)</f>
        <v>-398.13584117562283</v>
      </c>
      <c r="AK5" s="209">
        <f>Ballistics!H39/1.047/(AK3/100)</f>
        <v>-425.6196286385587</v>
      </c>
      <c r="AL5" s="207">
        <f>Ballistics!H40/1.047/(AL3/100)</f>
        <v>-452.52934570503345</v>
      </c>
      <c r="AM5" s="209">
        <f>Ballistics!H41/1.047/(AM3/100)</f>
        <v>-478.57044288316445</v>
      </c>
      <c r="AN5" s="207">
        <f>Ballistics!H42/1.047/(AN3/100)</f>
        <v>-509.7881382804221</v>
      </c>
      <c r="AO5" s="209">
        <f>Ballistics!H43/1.047/(AO3/100)</f>
        <v>-539.8769681909413</v>
      </c>
      <c r="AP5" s="210">
        <f>Ballistics!H44/1.047/(AP3/100)</f>
        <v>-571.9758395441239</v>
      </c>
      <c r="AQ5" s="172" t="s">
        <v>50</v>
      </c>
    </row>
    <row r="6" spans="1:43" s="169" customFormat="1" ht="12.75">
      <c r="A6" s="173" t="s">
        <v>77</v>
      </c>
      <c r="B6" s="223">
        <f>B5/3.44</f>
        <v>0</v>
      </c>
      <c r="C6" s="233">
        <f>C5/3.44</f>
        <v>0</v>
      </c>
      <c r="D6" s="223">
        <f aca="true" t="shared" si="2" ref="D6:AP6">D5/3.44</f>
        <v>-0.3828653060939777</v>
      </c>
      <c r="E6" s="224">
        <f t="shared" si="2"/>
        <v>-1.0581450597992577</v>
      </c>
      <c r="F6" s="223">
        <f t="shared" si="2"/>
        <v>-1.8523537912030332</v>
      </c>
      <c r="G6" s="224">
        <f t="shared" si="2"/>
        <v>-2.7457256645409394</v>
      </c>
      <c r="H6" s="223">
        <f t="shared" si="2"/>
        <v>-3.7619154828705925</v>
      </c>
      <c r="I6" s="224">
        <f t="shared" si="2"/>
        <v>-4.929171615517641</v>
      </c>
      <c r="J6" s="223">
        <f t="shared" si="2"/>
        <v>-6.218134310057474</v>
      </c>
      <c r="K6" s="224">
        <f t="shared" si="2"/>
        <v>-7.597121317563966</v>
      </c>
      <c r="L6" s="223">
        <f t="shared" si="2"/>
        <v>-9.308195068441194</v>
      </c>
      <c r="M6" s="224">
        <f t="shared" si="2"/>
        <v>-11.117681091718218</v>
      </c>
      <c r="N6" s="223">
        <f t="shared" si="2"/>
        <v>-13.234889810726608</v>
      </c>
      <c r="O6" s="224">
        <f t="shared" si="2"/>
        <v>-15.537849818484771</v>
      </c>
      <c r="P6" s="223">
        <f t="shared" si="2"/>
        <v>-18.163574609030775</v>
      </c>
      <c r="Q6" s="224">
        <f t="shared" si="2"/>
        <v>-21.061827120635158</v>
      </c>
      <c r="R6" s="223">
        <f t="shared" si="2"/>
        <v>-24.04789549227289</v>
      </c>
      <c r="S6" s="224">
        <f t="shared" si="2"/>
        <v>-27.29544319872796</v>
      </c>
      <c r="T6" s="223">
        <f t="shared" si="2"/>
        <v>-30.729929441871896</v>
      </c>
      <c r="U6" s="264">
        <f t="shared" si="2"/>
        <v>-34.495017884595754</v>
      </c>
      <c r="V6" s="223">
        <f t="shared" si="2"/>
        <v>-38.462245236764154</v>
      </c>
      <c r="W6" s="264">
        <f t="shared" si="2"/>
        <v>-42.51033323838825</v>
      </c>
      <c r="X6" s="223">
        <f t="shared" si="2"/>
        <v>-46.802085350997416</v>
      </c>
      <c r="Y6" s="264">
        <f t="shared" si="2"/>
        <v>-51.34489459819438</v>
      </c>
      <c r="Z6" s="223">
        <f t="shared" si="2"/>
        <v>-56.09739594171573</v>
      </c>
      <c r="AA6" s="264">
        <f t="shared" si="2"/>
        <v>-60.99772620161168</v>
      </c>
      <c r="AB6" s="223">
        <f t="shared" si="2"/>
        <v>-65.96923914735655</v>
      </c>
      <c r="AC6" s="264">
        <f t="shared" si="2"/>
        <v>-71.39786260970882</v>
      </c>
      <c r="AD6" s="223">
        <f t="shared" si="2"/>
        <v>-76.80259779126044</v>
      </c>
      <c r="AE6" s="264">
        <f t="shared" si="2"/>
        <v>-82.79487132459305</v>
      </c>
      <c r="AF6" s="223">
        <f t="shared" si="2"/>
        <v>-88.76717374546928</v>
      </c>
      <c r="AG6" s="264">
        <f t="shared" si="2"/>
        <v>-95.25335802346514</v>
      </c>
      <c r="AH6" s="223">
        <f t="shared" si="2"/>
        <v>-101.61331618999317</v>
      </c>
      <c r="AI6" s="264">
        <f t="shared" si="2"/>
        <v>-109.13154136067078</v>
      </c>
      <c r="AJ6" s="223">
        <f t="shared" si="2"/>
        <v>-115.7371631324485</v>
      </c>
      <c r="AK6" s="264">
        <f t="shared" si="2"/>
        <v>-123.72663623213916</v>
      </c>
      <c r="AL6" s="223">
        <f t="shared" si="2"/>
        <v>-131.549228402626</v>
      </c>
      <c r="AM6" s="264">
        <f t="shared" si="2"/>
        <v>-139.11931479161757</v>
      </c>
      <c r="AN6" s="223">
        <f t="shared" si="2"/>
        <v>-148.19422624430877</v>
      </c>
      <c r="AO6" s="264">
        <f t="shared" si="2"/>
        <v>-156.94097912527363</v>
      </c>
      <c r="AP6" s="225">
        <f t="shared" si="2"/>
        <v>-166.2720463791058</v>
      </c>
      <c r="AQ6" s="173" t="s">
        <v>77</v>
      </c>
    </row>
    <row r="7" spans="1:43" s="5" customFormat="1" ht="3.75" customHeight="1">
      <c r="A7" s="172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3"/>
      <c r="AQ7" s="172"/>
    </row>
    <row r="8" spans="1:43" s="5" customFormat="1" ht="12.75">
      <c r="A8" s="175" t="s">
        <v>134</v>
      </c>
      <c r="B8" s="180">
        <v>11</v>
      </c>
      <c r="C8" s="214">
        <f>B8*27.8/C3</f>
        <v>3.0580000000000003</v>
      </c>
      <c r="D8" s="214">
        <f>B8*27.8/D3</f>
        <v>1.5290000000000001</v>
      </c>
      <c r="E8" s="215">
        <f>B8*27.8/E3</f>
        <v>1.0193333333333334</v>
      </c>
      <c r="F8" s="216">
        <f>B8*27.8/F3</f>
        <v>0.7645000000000001</v>
      </c>
      <c r="G8" s="216">
        <f>B8*27.8/G3</f>
        <v>0.6116</v>
      </c>
      <c r="H8" s="214">
        <f>B8*27.8/H3</f>
        <v>0.5096666666666667</v>
      </c>
      <c r="I8" s="215">
        <f>B8*27.8/I3</f>
        <v>0.4368571428571429</v>
      </c>
      <c r="J8" s="216">
        <f>B8*27.8/J3</f>
        <v>0.38225000000000003</v>
      </c>
      <c r="K8" s="216">
        <f>B8*27.8/K3</f>
        <v>0.3397777777777778</v>
      </c>
      <c r="L8" s="214">
        <f>B8*27.8/L3</f>
        <v>0.3058</v>
      </c>
      <c r="M8" s="215">
        <f>B8*27.8/M3</f>
        <v>0.278</v>
      </c>
      <c r="N8" s="216">
        <f>B8*27.8/N3</f>
        <v>0.25483333333333336</v>
      </c>
      <c r="O8" s="216">
        <f>B8*27.8/O3</f>
        <v>0.23523076923076924</v>
      </c>
      <c r="P8" s="214">
        <f>B8*27.8/P3</f>
        <v>0.21842857142857144</v>
      </c>
      <c r="Q8" s="215">
        <f>B8*27.8/Q3</f>
        <v>0.20386666666666667</v>
      </c>
      <c r="R8" s="216">
        <f>$B$8*27.8/R3</f>
        <v>0.19112500000000002</v>
      </c>
      <c r="S8" s="215">
        <f aca="true" t="shared" si="3" ref="S8:AP8">$B$8*27.8/S3</f>
        <v>0.17988235294117647</v>
      </c>
      <c r="T8" s="216">
        <f t="shared" si="3"/>
        <v>0.1698888888888889</v>
      </c>
      <c r="U8" s="215">
        <f t="shared" si="3"/>
        <v>0.16094736842105264</v>
      </c>
      <c r="V8" s="216">
        <f t="shared" si="3"/>
        <v>0.1529</v>
      </c>
      <c r="W8" s="215">
        <f t="shared" si="3"/>
        <v>0.14561904761904762</v>
      </c>
      <c r="X8" s="216">
        <f t="shared" si="3"/>
        <v>0.139</v>
      </c>
      <c r="Y8" s="215">
        <f t="shared" si="3"/>
        <v>0.13295652173913045</v>
      </c>
      <c r="Z8" s="216">
        <f t="shared" si="3"/>
        <v>0.12741666666666668</v>
      </c>
      <c r="AA8" s="215">
        <f t="shared" si="3"/>
        <v>0.12232</v>
      </c>
      <c r="AB8" s="216">
        <f t="shared" si="3"/>
        <v>0.11761538461538462</v>
      </c>
      <c r="AC8" s="215">
        <f t="shared" si="3"/>
        <v>0.11325925925925927</v>
      </c>
      <c r="AD8" s="216">
        <f t="shared" si="3"/>
        <v>0.10921428571428572</v>
      </c>
      <c r="AE8" s="215">
        <f t="shared" si="3"/>
        <v>0.10544827586206897</v>
      </c>
      <c r="AF8" s="216">
        <f t="shared" si="3"/>
        <v>0.10193333333333333</v>
      </c>
      <c r="AG8" s="215">
        <f t="shared" si="3"/>
        <v>0.09864516129032258</v>
      </c>
      <c r="AH8" s="216">
        <f t="shared" si="3"/>
        <v>0.09556250000000001</v>
      </c>
      <c r="AI8" s="215">
        <f t="shared" si="3"/>
        <v>0.09266666666666667</v>
      </c>
      <c r="AJ8" s="216">
        <f t="shared" si="3"/>
        <v>0.08994117647058823</v>
      </c>
      <c r="AK8" s="215">
        <f t="shared" si="3"/>
        <v>0.08737142857142857</v>
      </c>
      <c r="AL8" s="216">
        <f t="shared" si="3"/>
        <v>0.08494444444444445</v>
      </c>
      <c r="AM8" s="215">
        <f t="shared" si="3"/>
        <v>0.08264864864864865</v>
      </c>
      <c r="AN8" s="216">
        <f t="shared" si="3"/>
        <v>0.08047368421052632</v>
      </c>
      <c r="AO8" s="215">
        <f t="shared" si="3"/>
        <v>0.07841025641025641</v>
      </c>
      <c r="AP8" s="215">
        <f t="shared" si="3"/>
        <v>0.07645</v>
      </c>
      <c r="AQ8" s="175" t="s">
        <v>134</v>
      </c>
    </row>
    <row r="9" spans="1:43" s="5" customFormat="1" ht="12.75">
      <c r="A9" s="174" t="s">
        <v>135</v>
      </c>
      <c r="B9" s="180">
        <v>32</v>
      </c>
      <c r="C9" s="214">
        <f>B9*27.8/C3</f>
        <v>8.896</v>
      </c>
      <c r="D9" s="214">
        <f>B9*27.8/D3</f>
        <v>4.448</v>
      </c>
      <c r="E9" s="215">
        <f>B9*27.8/E3</f>
        <v>2.9653333333333336</v>
      </c>
      <c r="F9" s="216">
        <f>B9*27.8/F3</f>
        <v>2.224</v>
      </c>
      <c r="G9" s="216">
        <f>B9*27.8/G3</f>
        <v>1.7792000000000001</v>
      </c>
      <c r="H9" s="214">
        <f>B9*27.8/H3</f>
        <v>1.4826666666666668</v>
      </c>
      <c r="I9" s="215">
        <f>B9*27.8/I3</f>
        <v>1.270857142857143</v>
      </c>
      <c r="J9" s="216">
        <f>B9*27.8/J3</f>
        <v>1.112</v>
      </c>
      <c r="K9" s="216">
        <f>B9*27.8/K3</f>
        <v>0.9884444444444445</v>
      </c>
      <c r="L9" s="214">
        <f>B9*27.8/L3</f>
        <v>0.8896000000000001</v>
      </c>
      <c r="M9" s="215">
        <f>B9*27.8/M3</f>
        <v>0.8087272727272727</v>
      </c>
      <c r="N9" s="216">
        <f>B9*27.8/N3</f>
        <v>0.7413333333333334</v>
      </c>
      <c r="O9" s="216">
        <f>B9*27.8/O3</f>
        <v>0.6843076923076923</v>
      </c>
      <c r="P9" s="214">
        <f>B9*27.8/P3</f>
        <v>0.6354285714285715</v>
      </c>
      <c r="Q9" s="215">
        <f>B9*27.8/Q3</f>
        <v>0.5930666666666666</v>
      </c>
      <c r="R9" s="216">
        <f>$B$9*27.8/R3</f>
        <v>0.556</v>
      </c>
      <c r="S9" s="215">
        <f aca="true" t="shared" si="4" ref="S9:AP9">$B$9*27.8/S3</f>
        <v>0.5232941176470588</v>
      </c>
      <c r="T9" s="216">
        <f t="shared" si="4"/>
        <v>0.49422222222222223</v>
      </c>
      <c r="U9" s="215">
        <f t="shared" si="4"/>
        <v>0.46821052631578947</v>
      </c>
      <c r="V9" s="216">
        <f t="shared" si="4"/>
        <v>0.44480000000000003</v>
      </c>
      <c r="W9" s="215">
        <f t="shared" si="4"/>
        <v>0.4236190476190476</v>
      </c>
      <c r="X9" s="216">
        <f t="shared" si="4"/>
        <v>0.40436363636363637</v>
      </c>
      <c r="Y9" s="215">
        <f t="shared" si="4"/>
        <v>0.3867826086956522</v>
      </c>
      <c r="Z9" s="216">
        <f t="shared" si="4"/>
        <v>0.3706666666666667</v>
      </c>
      <c r="AA9" s="215">
        <f t="shared" si="4"/>
        <v>0.35584</v>
      </c>
      <c r="AB9" s="216">
        <f t="shared" si="4"/>
        <v>0.34215384615384614</v>
      </c>
      <c r="AC9" s="215">
        <f t="shared" si="4"/>
        <v>0.3294814814814815</v>
      </c>
      <c r="AD9" s="216">
        <f t="shared" si="4"/>
        <v>0.3177142857142857</v>
      </c>
      <c r="AE9" s="215">
        <f t="shared" si="4"/>
        <v>0.3067586206896552</v>
      </c>
      <c r="AF9" s="216">
        <f t="shared" si="4"/>
        <v>0.2965333333333333</v>
      </c>
      <c r="AG9" s="215">
        <f t="shared" si="4"/>
        <v>0.28696774193548386</v>
      </c>
      <c r="AH9" s="216">
        <f t="shared" si="4"/>
        <v>0.278</v>
      </c>
      <c r="AI9" s="215">
        <f t="shared" si="4"/>
        <v>0.2695757575757576</v>
      </c>
      <c r="AJ9" s="216">
        <f t="shared" si="4"/>
        <v>0.2616470588235294</v>
      </c>
      <c r="AK9" s="215">
        <f t="shared" si="4"/>
        <v>0.2541714285714286</v>
      </c>
      <c r="AL9" s="216">
        <f t="shared" si="4"/>
        <v>0.24711111111111111</v>
      </c>
      <c r="AM9" s="215">
        <f t="shared" si="4"/>
        <v>0.24043243243243245</v>
      </c>
      <c r="AN9" s="216">
        <f t="shared" si="4"/>
        <v>0.23410526315789473</v>
      </c>
      <c r="AO9" s="215">
        <f t="shared" si="4"/>
        <v>0.2281025641025641</v>
      </c>
      <c r="AP9" s="215">
        <f t="shared" si="4"/>
        <v>0.22240000000000001</v>
      </c>
      <c r="AQ9" s="174" t="s">
        <v>135</v>
      </c>
    </row>
    <row r="10" spans="1:43" s="5" customFormat="1" ht="12.75">
      <c r="A10" s="174"/>
      <c r="B10" s="180">
        <v>48</v>
      </c>
      <c r="C10" s="214">
        <f>B10*27.8/C3</f>
        <v>13.344000000000001</v>
      </c>
      <c r="D10" s="214">
        <f>B10*27.8/D3</f>
        <v>6.672000000000001</v>
      </c>
      <c r="E10" s="215">
        <f>B10*27.8/E3</f>
        <v>4.448</v>
      </c>
      <c r="F10" s="216">
        <f>B10*27.8/F3</f>
        <v>3.3360000000000003</v>
      </c>
      <c r="G10" s="216">
        <f>B10*27.8/G3</f>
        <v>2.6688</v>
      </c>
      <c r="H10" s="214">
        <f>B10*27.8/H3</f>
        <v>2.224</v>
      </c>
      <c r="I10" s="215">
        <f>B10*27.8/I3</f>
        <v>1.9062857142857144</v>
      </c>
      <c r="J10" s="216">
        <f>B10*27.8/J3</f>
        <v>1.6680000000000001</v>
      </c>
      <c r="K10" s="216">
        <f>B10*27.8/K3</f>
        <v>1.4826666666666668</v>
      </c>
      <c r="L10" s="214">
        <f>B10*27.8/L3</f>
        <v>1.3344</v>
      </c>
      <c r="M10" s="215">
        <f>B10*27.8/M3</f>
        <v>1.2130909090909092</v>
      </c>
      <c r="N10" s="216">
        <f>B10*27.8/N3</f>
        <v>1.112</v>
      </c>
      <c r="O10" s="216">
        <f>B10*27.8/O3</f>
        <v>1.0264615384615385</v>
      </c>
      <c r="P10" s="214">
        <f>B10*27.8/P3</f>
        <v>0.9531428571428572</v>
      </c>
      <c r="Q10" s="215">
        <f>B10*27.8/Q3</f>
        <v>0.8896000000000001</v>
      </c>
      <c r="R10" s="216">
        <f>$B$10*27.8/R3</f>
        <v>0.8340000000000001</v>
      </c>
      <c r="S10" s="215">
        <f aca="true" t="shared" si="5" ref="S10:AP10">$B$10*27.8/S3</f>
        <v>0.7849411764705883</v>
      </c>
      <c r="T10" s="216">
        <f t="shared" si="5"/>
        <v>0.7413333333333334</v>
      </c>
      <c r="U10" s="215">
        <f t="shared" si="5"/>
        <v>0.7023157894736842</v>
      </c>
      <c r="V10" s="216">
        <f t="shared" si="5"/>
        <v>0.6672</v>
      </c>
      <c r="W10" s="215">
        <f t="shared" si="5"/>
        <v>0.6354285714285715</v>
      </c>
      <c r="X10" s="216">
        <f t="shared" si="5"/>
        <v>0.6065454545454546</v>
      </c>
      <c r="Y10" s="215">
        <f t="shared" si="5"/>
        <v>0.5801739130434783</v>
      </c>
      <c r="Z10" s="216">
        <f t="shared" si="5"/>
        <v>0.556</v>
      </c>
      <c r="AA10" s="215">
        <f t="shared" si="5"/>
        <v>0.53376</v>
      </c>
      <c r="AB10" s="216">
        <f t="shared" si="5"/>
        <v>0.5132307692307693</v>
      </c>
      <c r="AC10" s="215">
        <f t="shared" si="5"/>
        <v>0.49422222222222223</v>
      </c>
      <c r="AD10" s="216">
        <f t="shared" si="5"/>
        <v>0.4765714285714286</v>
      </c>
      <c r="AE10" s="215">
        <f t="shared" si="5"/>
        <v>0.4601379310344828</v>
      </c>
      <c r="AF10" s="216">
        <f t="shared" si="5"/>
        <v>0.44480000000000003</v>
      </c>
      <c r="AG10" s="215">
        <f t="shared" si="5"/>
        <v>0.4304516129032258</v>
      </c>
      <c r="AH10" s="216">
        <f t="shared" si="5"/>
        <v>0.41700000000000004</v>
      </c>
      <c r="AI10" s="215">
        <f t="shared" si="5"/>
        <v>0.40436363636363637</v>
      </c>
      <c r="AJ10" s="216">
        <f t="shared" si="5"/>
        <v>0.3924705882352941</v>
      </c>
      <c r="AK10" s="215">
        <f t="shared" si="5"/>
        <v>0.3812571428571429</v>
      </c>
      <c r="AL10" s="216">
        <f t="shared" si="5"/>
        <v>0.3706666666666667</v>
      </c>
      <c r="AM10" s="215">
        <f t="shared" si="5"/>
        <v>0.36064864864864865</v>
      </c>
      <c r="AN10" s="216">
        <f t="shared" si="5"/>
        <v>0.3511578947368421</v>
      </c>
      <c r="AO10" s="215">
        <f t="shared" si="5"/>
        <v>0.3421538461538462</v>
      </c>
      <c r="AP10" s="215">
        <f t="shared" si="5"/>
        <v>0.3336</v>
      </c>
      <c r="AQ10" s="174"/>
    </row>
    <row r="11" spans="1:43" s="5" customFormat="1" ht="12.75">
      <c r="A11" s="175" t="s">
        <v>95</v>
      </c>
      <c r="B11" s="227">
        <f>Ballistics!B21</f>
        <v>4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3"/>
      <c r="AQ11" s="175"/>
    </row>
    <row r="12" spans="1:43" s="5" customFormat="1" ht="12.75">
      <c r="A12" s="172" t="s">
        <v>51</v>
      </c>
      <c r="B12" s="228">
        <f>IF(B3=0,0,(Ballistics!K4/1.047)/(B3/100))</f>
        <v>0</v>
      </c>
      <c r="C12" s="229">
        <f>(Ballistics!K5/1.047)/(C3/100)</f>
        <v>0.2695193942133751</v>
      </c>
      <c r="D12" s="228">
        <f>(Ballistics!K6/1.047)/(D3/100)</f>
        <v>0.4916201030713408</v>
      </c>
      <c r="E12" s="230">
        <f>(Ballistics!K7/1.047)/(E3/100)</f>
        <v>0.7899091909152189</v>
      </c>
      <c r="F12" s="229">
        <f>(Ballistics!K8/1.047)/(F3/100)</f>
        <v>1.0813232892529707</v>
      </c>
      <c r="G12" s="229">
        <f>(Ballistics!K9/1.047)/(G3/100)</f>
        <v>1.3854090454126922</v>
      </c>
      <c r="H12" s="228">
        <f>(Ballistics!K10/1.047)/(H3/100)</f>
        <v>1.7270358594082682</v>
      </c>
      <c r="I12" s="230">
        <f>(Ballistics!K11/1.047)/(I3/100)</f>
        <v>2.1130697146881547</v>
      </c>
      <c r="J12" s="229">
        <f>(Ballistics!K12/1.047)/(J3/100)</f>
        <v>2.5074159033163568</v>
      </c>
      <c r="K12" s="229">
        <f>(Ballistics!K13/1.047)/(K3/100)</f>
        <v>2.889668181778198</v>
      </c>
      <c r="L12" s="228">
        <f>(Ballistics!K14/1.047)/(L3/100)</f>
        <v>3.3754583795541846</v>
      </c>
      <c r="M12" s="230">
        <f>(Ballistics!K15/1.047)/(M3/100)</f>
        <v>3.827620779201713</v>
      </c>
      <c r="N12" s="229">
        <f>(Ballistics!K16/1.047)/(N3/100)</f>
        <v>4.328561928051619</v>
      </c>
      <c r="O12" s="229">
        <f>(Ballistics!K17/1.047)/(O3/100)</f>
        <v>4.818383503872733</v>
      </c>
      <c r="P12" s="228">
        <f>(Ballistics!K18/1.047)/(P3/100)</f>
        <v>5.32532782033563</v>
      </c>
      <c r="Q12" s="230">
        <f>(Ballistics!K19/1.047)/(Q3/100)</f>
        <v>5.838424182392396</v>
      </c>
      <c r="R12" s="229">
        <f>(Ballistics!K20/1.047)/(R3/100)</f>
        <v>6.3005558156087575</v>
      </c>
      <c r="S12" s="229">
        <f>(Ballistics!K21/1.047)/(S3/100)</f>
        <v>6.766523154518524</v>
      </c>
      <c r="T12" s="228">
        <f>(Ballistics!K22/1.047)/(T3/100)</f>
        <v>7.217112324887989</v>
      </c>
      <c r="U12" s="230">
        <f>(Ballistics!K23/1.047)/(U3/100)</f>
        <v>7.684841977003911</v>
      </c>
      <c r="V12" s="229">
        <f>(Ballistics!K24/1.047)/(V3/100)</f>
        <v>8.139195747893107</v>
      </c>
      <c r="W12" s="229">
        <f>(Ballistics!K25/1.047)/(W3/100)</f>
        <v>8.559087591347295</v>
      </c>
      <c r="X12" s="228">
        <f>(Ballistics!K26/1.047)/(X3/100)</f>
        <v>8.978759226376967</v>
      </c>
      <c r="Y12" s="230">
        <f>(Ballistics!K27/1.047)/(Y3/100)</f>
        <v>9.398259054169904</v>
      </c>
      <c r="Z12" s="229">
        <f>(Ballistics!K28/1.047)/(Z3/100)</f>
        <v>9.810361441078811</v>
      </c>
      <c r="AA12" s="229">
        <f>(Ballistics!K29/1.047)/(AA3/100)</f>
        <v>10.206613582271698</v>
      </c>
      <c r="AB12" s="228">
        <f>(Ballistics!K30/1.047)/(AB3/100)</f>
        <v>10.57847926932794</v>
      </c>
      <c r="AC12" s="230">
        <f>(Ballistics!K31/1.047)/(AC3/100)</f>
        <v>10.979534540690212</v>
      </c>
      <c r="AD12" s="229">
        <f>(Ballistics!K32/1.047)/(AD3/100)</f>
        <v>11.345444625894645</v>
      </c>
      <c r="AE12" s="229">
        <f>(Ballistics!K33/1.047)/(AE3/100)</f>
        <v>11.751987794840199</v>
      </c>
      <c r="AF12" s="228">
        <f>(Ballistics!K34/1.047)/(AF3/100)</f>
        <v>12.125247147266776</v>
      </c>
      <c r="AG12" s="230">
        <f>(Ballistics!K35/1.047)/(AG3/100)</f>
        <v>12.526230451269209</v>
      </c>
      <c r="AH12" s="229">
        <f>(Ballistics!K36/1.047)/(AH3/100)</f>
        <v>12.885735507438163</v>
      </c>
      <c r="AI12" s="229">
        <f>(Ballistics!K37/1.047)/(AI3/100)</f>
        <v>13.333661080046712</v>
      </c>
      <c r="AJ12" s="228">
        <f>(Ballistics!K38/1.047)/(AJ3/100)</f>
        <v>13.665846728028049</v>
      </c>
      <c r="AK12" s="230">
        <f>(Ballistics!K39/1.047)/(AK3/100)</f>
        <v>14.100116653723303</v>
      </c>
      <c r="AL12" s="229">
        <f>(Ballistics!K40/1.047)/(AL3/100)</f>
        <v>14.491486927275664</v>
      </c>
      <c r="AM12" s="229">
        <f>(Ballistics!K41/1.047)/(AM3/100)</f>
        <v>14.837592481214962</v>
      </c>
      <c r="AN12" s="228">
        <f>(Ballistics!K42/1.047)/(AN3/100)</f>
        <v>15.281616901728013</v>
      </c>
      <c r="AO12" s="230">
        <f>(Ballistics!K43/1.047)/(AO3/100)</f>
        <v>15.673548804230855</v>
      </c>
      <c r="AP12" s="230">
        <f>(Ballistics!K44/1.047)/(AP3/100)</f>
        <v>16.08524003086043</v>
      </c>
      <c r="AQ12" s="172" t="s">
        <v>51</v>
      </c>
    </row>
    <row r="13" spans="1:43" s="5" customFormat="1" ht="12.75">
      <c r="A13" s="177" t="s">
        <v>78</v>
      </c>
      <c r="B13" s="231">
        <f>B12/3.44</f>
        <v>0</v>
      </c>
      <c r="C13" s="232">
        <f>C12/3.44</f>
        <v>0.07834866110853927</v>
      </c>
      <c r="D13" s="231">
        <f aca="true" t="shared" si="6" ref="D13:AP13">D12/3.44</f>
        <v>0.1429128206602735</v>
      </c>
      <c r="E13" s="233">
        <f t="shared" si="6"/>
        <v>0.22962476480093574</v>
      </c>
      <c r="F13" s="232">
        <f t="shared" si="6"/>
        <v>0.31433816548051474</v>
      </c>
      <c r="G13" s="232">
        <f t="shared" si="6"/>
        <v>0.4027351876199687</v>
      </c>
      <c r="H13" s="231">
        <f t="shared" si="6"/>
        <v>0.5020453079675198</v>
      </c>
      <c r="I13" s="233">
        <f t="shared" si="6"/>
        <v>0.6142644519442311</v>
      </c>
      <c r="J13" s="232">
        <f t="shared" si="6"/>
        <v>0.7288999718942898</v>
      </c>
      <c r="K13" s="232">
        <f t="shared" si="6"/>
        <v>0.84001982028436</v>
      </c>
      <c r="L13" s="231">
        <f t="shared" si="6"/>
        <v>0.9812379010331932</v>
      </c>
      <c r="M13" s="233">
        <f t="shared" si="6"/>
        <v>1.1126804590702655</v>
      </c>
      <c r="N13" s="232">
        <f t="shared" si="6"/>
        <v>1.2583028860615173</v>
      </c>
      <c r="O13" s="232">
        <f t="shared" si="6"/>
        <v>1.400692879032771</v>
      </c>
      <c r="P13" s="231">
        <f t="shared" si="6"/>
        <v>1.5480604128882647</v>
      </c>
      <c r="Q13" s="233">
        <f t="shared" si="6"/>
        <v>1.697216332090813</v>
      </c>
      <c r="R13" s="232">
        <f t="shared" si="6"/>
        <v>1.8315569231420807</v>
      </c>
      <c r="S13" s="232">
        <f t="shared" si="6"/>
        <v>1.9670125449181755</v>
      </c>
      <c r="T13" s="231">
        <f t="shared" si="6"/>
        <v>2.0979977688627875</v>
      </c>
      <c r="U13" s="233">
        <f t="shared" si="6"/>
        <v>2.233965690989509</v>
      </c>
      <c r="V13" s="232">
        <f t="shared" si="6"/>
        <v>2.366045275550322</v>
      </c>
      <c r="W13" s="232">
        <f t="shared" si="6"/>
        <v>2.488106857949795</v>
      </c>
      <c r="X13" s="231">
        <f t="shared" si="6"/>
        <v>2.610104426272374</v>
      </c>
      <c r="Y13" s="233">
        <f t="shared" si="6"/>
        <v>2.732052050630786</v>
      </c>
      <c r="Z13" s="232">
        <f t="shared" si="6"/>
        <v>2.8518492561275615</v>
      </c>
      <c r="AA13" s="232">
        <f t="shared" si="6"/>
        <v>2.967038832055726</v>
      </c>
      <c r="AB13" s="231">
        <f t="shared" si="6"/>
        <v>3.075139322479052</v>
      </c>
      <c r="AC13" s="233">
        <f t="shared" si="6"/>
        <v>3.191725157177387</v>
      </c>
      <c r="AD13" s="232">
        <f t="shared" si="6"/>
        <v>3.2980943679926296</v>
      </c>
      <c r="AE13" s="232">
        <f t="shared" si="6"/>
        <v>3.4162755217558716</v>
      </c>
      <c r="AF13" s="231">
        <f t="shared" si="6"/>
        <v>3.5247811474612725</v>
      </c>
      <c r="AG13" s="233">
        <f t="shared" si="6"/>
        <v>3.641346061415468</v>
      </c>
      <c r="AH13" s="232">
        <f t="shared" si="6"/>
        <v>3.7458533451855125</v>
      </c>
      <c r="AI13" s="232">
        <f t="shared" si="6"/>
        <v>3.8760642674554395</v>
      </c>
      <c r="AJ13" s="231">
        <f t="shared" si="6"/>
        <v>3.9726298627988514</v>
      </c>
      <c r="AK13" s="233">
        <f t="shared" si="6"/>
        <v>4.098871120268402</v>
      </c>
      <c r="AL13" s="232">
        <f t="shared" si="6"/>
        <v>4.212641548626647</v>
      </c>
      <c r="AM13" s="232">
        <f t="shared" si="6"/>
        <v>4.3132536282601635</v>
      </c>
      <c r="AN13" s="231">
        <f t="shared" si="6"/>
        <v>4.442330494688376</v>
      </c>
      <c r="AO13" s="233">
        <f t="shared" si="6"/>
        <v>4.556264187276411</v>
      </c>
      <c r="AP13" s="233">
        <f t="shared" si="6"/>
        <v>4.675941869436172</v>
      </c>
      <c r="AQ13" s="177" t="s">
        <v>78</v>
      </c>
    </row>
    <row r="14" spans="1:43" s="5" customFormat="1" ht="8.25" customHeight="1">
      <c r="A14" s="178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26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3"/>
      <c r="AQ14" s="178"/>
    </row>
    <row r="15" spans="1:43" s="5" customFormat="1" ht="12.75">
      <c r="A15" s="176" t="s">
        <v>96</v>
      </c>
      <c r="B15" s="217">
        <f>IF(B3=0,0,Ballistics!N4/(B3/100))</f>
        <v>0</v>
      </c>
      <c r="C15" s="218">
        <f>Ballistics!N5/(C3/100)</f>
        <v>0.07892428332027417</v>
      </c>
      <c r="D15" s="217">
        <f>Ballistics!N6/(D3/100)</f>
        <v>0.1637188660524611</v>
      </c>
      <c r="E15" s="218">
        <f>Ballistics!N7/(E3/100)</f>
        <v>0.2590483465521857</v>
      </c>
      <c r="F15" s="217">
        <f>Ballistics!N8/(F3/100)</f>
        <v>0.36262319381207897</v>
      </c>
      <c r="G15" s="218">
        <f>Ballistics!N9/(G3/100)</f>
        <v>0.47581394051004366</v>
      </c>
      <c r="H15" s="217">
        <f>Ballistics!N10/(H3/100)</f>
        <v>0.6027809523693496</v>
      </c>
      <c r="I15" s="218">
        <f>Ballistics!N11/(I3/100)</f>
        <v>0.7475250147708833</v>
      </c>
      <c r="J15" s="217">
        <f>Ballistics!N12/(J3/100)</f>
        <v>0.9067216027030995</v>
      </c>
      <c r="K15" s="218">
        <f>Ballistics!N13/(K3/100)</f>
        <v>1.0766414357153182</v>
      </c>
      <c r="L15" s="217">
        <f>Ballistics!N14/(L3/100)</f>
        <v>1.2870170437997852</v>
      </c>
      <c r="M15" s="218">
        <f>Ballistics!N15/(M3/100)</f>
        <v>1.509290763617816</v>
      </c>
      <c r="N15" s="217">
        <f>Ballistics!N16/(N3/100)</f>
        <v>1.7691324397258663</v>
      </c>
      <c r="O15" s="218">
        <f>Ballistics!N17/(O3/100)</f>
        <v>2.0516323153921343</v>
      </c>
      <c r="P15" s="217">
        <f>Ballistics!N18/(P3/100)</f>
        <v>2.3735876045615947</v>
      </c>
      <c r="Q15" s="218">
        <f>Ballistics!N19/(Q3/100)</f>
        <v>2.7288603077844815</v>
      </c>
      <c r="R15" s="217">
        <f>Ballistics!N20/(R3/100)</f>
        <v>3.0948415573649943</v>
      </c>
      <c r="S15" s="218">
        <f>Ballistics!N21/(S3/100)</f>
        <v>3.4928056465600874</v>
      </c>
      <c r="T15" s="217">
        <f>Ballistics!N22/(T3/100)</f>
        <v>3.9136307183528913</v>
      </c>
      <c r="U15" s="218">
        <f>Ballistics!N23/(U3/100)</f>
        <v>4.3749143015005725</v>
      </c>
      <c r="V15" s="217">
        <f>Ballistics!N24/(V3/100)</f>
        <v>4.86092906374813</v>
      </c>
      <c r="W15" s="218">
        <f>Ballistics!N25/(W3/100)</f>
        <v>5.356826785743096</v>
      </c>
      <c r="X15" s="217">
        <f>Ballistics!N26/(X3/100)</f>
        <v>5.882546501761244</v>
      </c>
      <c r="Y15" s="218">
        <f>Ballistics!N27/(Y3/100)</f>
        <v>6.438995680779585</v>
      </c>
      <c r="Z15" s="217">
        <f>Ballistics!N28/(Z3/100)</f>
        <v>7.021110663175804</v>
      </c>
      <c r="AA15" s="218">
        <f>Ballistics!N29/(AA3/100)</f>
        <v>7.621317360518182</v>
      </c>
      <c r="AB15" s="217">
        <f>Ballistics!N30/(AB3/100)</f>
        <v>8.230231164050661</v>
      </c>
      <c r="AC15" s="218">
        <f>Ballistics!N31/(AC3/100)</f>
        <v>8.895112764512755</v>
      </c>
      <c r="AD15" s="217">
        <f>Ballistics!N32/(AD3/100)</f>
        <v>9.557061360213533</v>
      </c>
      <c r="AE15" s="218">
        <f>Ballistics!N33/(AE3/100)</f>
        <v>10.290951293741903</v>
      </c>
      <c r="AF15" s="217">
        <f>Ballistics!N34/(AF3/100)</f>
        <v>11.022389397396724</v>
      </c>
      <c r="AG15" s="218">
        <f>Ballistics!N35/(AG3/100)</f>
        <v>11.816750370751096</v>
      </c>
      <c r="AH15" s="217">
        <f>Ballistics!N36/(AH3/100)</f>
        <v>12.595648962596213</v>
      </c>
      <c r="AI15" s="218">
        <f>Ballistics!N37/(AI3/100)</f>
        <v>13.516380963751324</v>
      </c>
      <c r="AJ15" s="217">
        <f>Ballistics!N38/(AJ3/100)</f>
        <v>14.325353957490096</v>
      </c>
      <c r="AK15" s="218">
        <f>Ballistics!N39/(AK3/100)</f>
        <v>15.303785537881403</v>
      </c>
      <c r="AL15" s="217">
        <f>Ballistics!N40/(AL3/100)</f>
        <v>16.261777820616942</v>
      </c>
      <c r="AM15" s="218">
        <f>Ballistics!N41/(AM3/100)</f>
        <v>17.188845719885975</v>
      </c>
      <c r="AN15" s="217">
        <f>Ballistics!N42/(AN3/100)</f>
        <v>18.30018716666885</v>
      </c>
      <c r="AO15" s="218">
        <f>Ballistics!N43/(AO3/100)</f>
        <v>19.3713404944173</v>
      </c>
      <c r="AP15" s="219">
        <f>Ballistics!N44/(AP3/100)</f>
        <v>20.514044719411995</v>
      </c>
      <c r="AQ15" s="176" t="s">
        <v>96</v>
      </c>
    </row>
    <row r="16" spans="1:43" s="7" customFormat="1" ht="12.75">
      <c r="A16" s="176" t="s">
        <v>97</v>
      </c>
      <c r="B16" s="220">
        <f>IF(B4=0,0,Ballistics!O4/(B4/100))</f>
        <v>0</v>
      </c>
      <c r="C16" s="221">
        <f>Ballistics!O5/(C3/100)</f>
        <v>0.31105452837990405</v>
      </c>
      <c r="D16" s="220">
        <f>Ballistics!O6/(D3/100)</f>
        <v>0.6452449426773467</v>
      </c>
      <c r="E16" s="221">
        <f>Ballistics!O7/(E3/100)</f>
        <v>1.0209552481762614</v>
      </c>
      <c r="F16" s="220">
        <f>Ballistics!O8/(F3/100)</f>
        <v>1.429161999141723</v>
      </c>
      <c r="G16" s="221">
        <f>Ballistics!O9/(G3/100)</f>
        <v>1.8752667067160544</v>
      </c>
      <c r="H16" s="220">
        <f>Ballistics!O10/(H3/100)</f>
        <v>2.375666106396848</v>
      </c>
      <c r="I16" s="221">
        <f>Ballistics!O11/(I3/100)</f>
        <v>2.9461279993911282</v>
      </c>
      <c r="J16" s="220">
        <f>Ballistics!O12/(J3/100)</f>
        <v>3.5735498459475097</v>
      </c>
      <c r="K16" s="221">
        <f>Ballistics!O13/(K3/100)</f>
        <v>4.243233893701548</v>
      </c>
      <c r="L16" s="220">
        <f>Ballistics!O14/(L3/100)</f>
        <v>5.0723612902697415</v>
      </c>
      <c r="M16" s="221">
        <f>Ballistics!O15/(M3/100)</f>
        <v>5.948381244846686</v>
      </c>
      <c r="N16" s="220">
        <f>Ballistics!O16/(N3/100)</f>
        <v>6.972463144801943</v>
      </c>
      <c r="O16" s="221">
        <f>Ballistics!O17/(O3/100)</f>
        <v>8.085845007721941</v>
      </c>
      <c r="P16" s="220">
        <f>Ballistics!O18/(P3/100)</f>
        <v>9.354727617978048</v>
      </c>
      <c r="Q16" s="221">
        <f>Ballistics!O19/(Q3/100)</f>
        <v>10.754920036562368</v>
      </c>
      <c r="R16" s="220">
        <f>Ballistics!O20/(R3/100)</f>
        <v>12.197316726085566</v>
      </c>
      <c r="S16" s="221">
        <f>Ballistics!O21/(S3/100)</f>
        <v>13.765763430560343</v>
      </c>
      <c r="T16" s="220">
        <f>Ballistics!O22/(T3/100)</f>
        <v>15.42430930174375</v>
      </c>
      <c r="U16" s="221">
        <f>Ballistics!O23/(U3/100)</f>
        <v>17.24230930591402</v>
      </c>
      <c r="V16" s="220">
        <f>Ballistics!O24/(V3/100)</f>
        <v>19.15777925124263</v>
      </c>
      <c r="W16" s="221">
        <f>Ballistics!O25/(W3/100)</f>
        <v>21.112199684987495</v>
      </c>
      <c r="X16" s="220">
        <f>Ballistics!O26/(X3/100)</f>
        <v>23.184153859882546</v>
      </c>
      <c r="Y16" s="221">
        <f>Ballistics!O27/(Y3/100)</f>
        <v>25.377218271307775</v>
      </c>
      <c r="Z16" s="220">
        <f>Ballistics!O28/(Z3/100)</f>
        <v>27.671436143104643</v>
      </c>
      <c r="AA16" s="221">
        <f>Ballistics!O29/(AA3/100)</f>
        <v>30.03695665615989</v>
      </c>
      <c r="AB16" s="220">
        <f>Ballistics!O30/(AB3/100)</f>
        <v>32.436793411258485</v>
      </c>
      <c r="AC16" s="221">
        <f>Ballistics!O31/(AC3/100)</f>
        <v>35.05720913072674</v>
      </c>
      <c r="AD16" s="220">
        <f>Ballistics!O32/(AD3/100)</f>
        <v>37.666065360841564</v>
      </c>
      <c r="AE16" s="221">
        <f>Ballistics!O33/(AE3/100)</f>
        <v>40.558455098865146</v>
      </c>
      <c r="AF16" s="220">
        <f>Ballistics!O34/(AF3/100)</f>
        <v>43.44118174268121</v>
      </c>
      <c r="AG16" s="221">
        <f>Ballistics!O35/(AG3/100)</f>
        <v>46.571898520019026</v>
      </c>
      <c r="AH16" s="220">
        <f>Ballistics!O36/(AH3/100)</f>
        <v>49.64167532317331</v>
      </c>
      <c r="AI16" s="221">
        <f>Ballistics!O37/(AI3/100)</f>
        <v>53.27044262184346</v>
      </c>
      <c r="AJ16" s="220">
        <f>Ballistics!O38/(AJ3/100)</f>
        <v>56.45874795010803</v>
      </c>
      <c r="AK16" s="221">
        <f>Ballistics!O39/(AK3/100)</f>
        <v>60.31491947282671</v>
      </c>
      <c r="AL16" s="220">
        <f>Ballistics!O40/(AL3/100)</f>
        <v>64.09053611654912</v>
      </c>
      <c r="AM16" s="221">
        <f>Ballistics!O41/(AM3/100)</f>
        <v>67.7442743077859</v>
      </c>
      <c r="AN16" s="220">
        <f>Ballistics!O42/(AN3/100)</f>
        <v>72.12426706863603</v>
      </c>
      <c r="AO16" s="221">
        <f>Ballistics!O43/(AO3/100)</f>
        <v>76.34587136035053</v>
      </c>
      <c r="AP16" s="222">
        <f>Ballistics!O44/(AP3/100)</f>
        <v>80.84947036474139</v>
      </c>
      <c r="AQ16" s="176" t="s">
        <v>97</v>
      </c>
    </row>
    <row r="17" spans="1:43" s="7" customFormat="1" ht="12.75">
      <c r="A17" s="176" t="s">
        <v>98</v>
      </c>
      <c r="B17" s="223">
        <f>IF(B5=0,0,Ballistics!P4/(B5/100))</f>
        <v>0</v>
      </c>
      <c r="C17" s="224">
        <f>Ballistics!P5/(C3/100)</f>
        <v>0.6801416180247155</v>
      </c>
      <c r="D17" s="223">
        <f>Ballistics!P6/(D3/100)</f>
        <v>1.4108714045109148</v>
      </c>
      <c r="E17" s="224">
        <f>Ballistics!P7/(E3/100)</f>
        <v>2.232387221758541</v>
      </c>
      <c r="F17" s="223">
        <f>Ballistics!P8/(F3/100)</f>
        <v>3.1249586996158567</v>
      </c>
      <c r="G17" s="224">
        <f>Ballistics!P9/(G3/100)</f>
        <v>4.100396604983612</v>
      </c>
      <c r="H17" s="223">
        <f>Ballistics!P10/(H3/100)</f>
        <v>5.194553501300571</v>
      </c>
      <c r="I17" s="224">
        <f>Ballistics!P11/(I3/100)</f>
        <v>6.4419067449373175</v>
      </c>
      <c r="J17" s="223">
        <f>Ballistics!P12/(J3/100)</f>
        <v>7.813806752706121</v>
      </c>
      <c r="K17" s="224">
        <f>Ballistics!P13/(K3/100)</f>
        <v>9.278115901899653</v>
      </c>
      <c r="L17" s="223">
        <f>Ballistics!P14/(L3/100)</f>
        <v>11.091058642156971</v>
      </c>
      <c r="M17" s="224">
        <f>Ballistics!P15/(M3/100)</f>
        <v>13.006535110000586</v>
      </c>
      <c r="N17" s="223">
        <f>Ballistics!P16/(N3/100)</f>
        <v>15.245758965872907</v>
      </c>
      <c r="O17" s="224">
        <f>Ballistics!P17/(O3/100)</f>
        <v>17.680243188526333</v>
      </c>
      <c r="P17" s="223">
        <f>Ballistics!P18/(P3/100)</f>
        <v>20.45474023931021</v>
      </c>
      <c r="Q17" s="224">
        <f>Ballistics!P19/(Q3/100)</f>
        <v>23.516355005319205</v>
      </c>
      <c r="R17" s="223">
        <f>Ballistics!P20/(R3/100)</f>
        <v>26.67025224435127</v>
      </c>
      <c r="S17" s="224">
        <f>Ballistics!P21/(S3/100)</f>
        <v>30.099766307120746</v>
      </c>
      <c r="T17" s="223">
        <f>Ballistics!P22/(T3/100)</f>
        <v>33.726288249335205</v>
      </c>
      <c r="U17" s="224">
        <f>Ballistics!P23/(U3/100)</f>
        <v>37.701467362931396</v>
      </c>
      <c r="V17" s="223">
        <f>Ballistics!P24/(V3/100)</f>
        <v>41.889771049358885</v>
      </c>
      <c r="W17" s="224">
        <f>Ballistics!P25/(W3/100)</f>
        <v>46.16324259478609</v>
      </c>
      <c r="X17" s="223">
        <f>Ballistics!P26/(X3/100)</f>
        <v>50.693709559295414</v>
      </c>
      <c r="Y17" s="224">
        <f>Ballistics!P27/(Y3/100)</f>
        <v>55.48899219024759</v>
      </c>
      <c r="Z17" s="223">
        <f>Ballistics!P28/(Z3/100)</f>
        <v>60.505453656191484</v>
      </c>
      <c r="AA17" s="224">
        <f>Ballistics!P29/(AA3/100)</f>
        <v>65.6778231362302</v>
      </c>
      <c r="AB17" s="223">
        <f>Ballistics!P30/(AB3/100)</f>
        <v>70.92522738431892</v>
      </c>
      <c r="AC17" s="224">
        <f>Ballistics!P31/(AC3/100)</f>
        <v>76.65494235300696</v>
      </c>
      <c r="AD17" s="223">
        <f>Ballistics!P32/(AD3/100)</f>
        <v>82.35938172184014</v>
      </c>
      <c r="AE17" s="224">
        <f>Ballistics!P33/(AE3/100)</f>
        <v>88.6837861490111</v>
      </c>
      <c r="AF17" s="223">
        <f>Ballistics!P34/(AF3/100)</f>
        <v>94.98706157168353</v>
      </c>
      <c r="AG17" s="224">
        <f>Ballistics!P35/(AG3/100)</f>
        <v>101.83258407735502</v>
      </c>
      <c r="AH17" s="223">
        <f>Ballistics!P36/(AH3/100)</f>
        <v>108.54485723649088</v>
      </c>
      <c r="AI17" s="224">
        <f>Ballistics!P37/(AI3/100)</f>
        <v>116.47940065820993</v>
      </c>
      <c r="AJ17" s="223">
        <f>Ballistics!P38/(AJ3/100)</f>
        <v>123.45084439837052</v>
      </c>
      <c r="AK17" s="224">
        <f>Ballistics!P39/(AK3/100)</f>
        <v>131.88262242938973</v>
      </c>
      <c r="AL17" s="223">
        <f>Ballistics!P40/(AL3/100)</f>
        <v>140.13826180708128</v>
      </c>
      <c r="AM17" s="224">
        <f>Ballistics!P41/(AM3/100)</f>
        <v>148.12740576254677</v>
      </c>
      <c r="AN17" s="223">
        <f>Ballistics!P42/(AN3/100)</f>
        <v>157.70455411276384</v>
      </c>
      <c r="AO17" s="224">
        <f>Ballistics!P43/(AO3/100)</f>
        <v>166.93537543718438</v>
      </c>
      <c r="AP17" s="225">
        <f>Ballistics!P44/(AP3/100)</f>
        <v>176.78279714081512</v>
      </c>
      <c r="AQ17" s="176" t="s">
        <v>98</v>
      </c>
    </row>
    <row r="18" spans="1:43" s="5" customFormat="1" ht="8.25" customHeight="1">
      <c r="A18" s="178"/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26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3"/>
      <c r="AQ18" s="178"/>
    </row>
    <row r="19" spans="1:43" s="5" customFormat="1" ht="12.75">
      <c r="A19" s="174" t="s">
        <v>79</v>
      </c>
      <c r="B19" s="235">
        <f>Ballistics!Q4</f>
        <v>0</v>
      </c>
      <c r="C19" s="236">
        <f>Ballistics!Q5</f>
        <v>0.11419870574800152</v>
      </c>
      <c r="D19" s="235">
        <f>Ballistics!Q6</f>
        <v>0.23644809450105775</v>
      </c>
      <c r="E19" s="236">
        <f>Ballistics!Q7</f>
        <v>0.3676243078810315</v>
      </c>
      <c r="F19" s="235">
        <f>Ballistics!Q8</f>
        <v>0.508601751490054</v>
      </c>
      <c r="G19" s="236">
        <f>Ballistics!Q9</f>
        <v>0.6605774353806315</v>
      </c>
      <c r="H19" s="235">
        <f>Ballistics!Q10</f>
        <v>0.8247810478601061</v>
      </c>
      <c r="I19" s="236">
        <f>Ballistics!Q11</f>
        <v>1.00240094128817</v>
      </c>
      <c r="J19" s="235">
        <f>Ballistics!Q12</f>
        <v>1.1948319868301842</v>
      </c>
      <c r="K19" s="236">
        <f>Ballistics!Q13</f>
        <v>1.4037456358552538</v>
      </c>
      <c r="L19" s="235">
        <f>Ballistics!Q14</f>
        <v>1.62930954562969</v>
      </c>
      <c r="M19" s="236">
        <f>Ballistics!Q15</f>
        <v>1.8724213770721536</v>
      </c>
      <c r="N19" s="235">
        <f>Ballistics!Q16</f>
        <v>2.132386715027093</v>
      </c>
      <c r="O19" s="236">
        <f>Ballistics!Q17</f>
        <v>2.4088844108796277</v>
      </c>
      <c r="P19" s="235">
        <f>Ballistics!Q18</f>
        <v>2.6984597004549173</v>
      </c>
      <c r="Q19" s="236">
        <f>Ballistics!Q19</f>
        <v>3.000574504080295</v>
      </c>
      <c r="R19" s="235">
        <f>Ballistics!Q20</f>
        <v>3.3140541279047464</v>
      </c>
      <c r="S19" s="236">
        <f>Ballistics!Q21</f>
        <v>3.6383784522290705</v>
      </c>
      <c r="T19" s="235">
        <f>Ballistics!Q22</f>
        <v>3.973199880800499</v>
      </c>
      <c r="U19" s="236">
        <f>Ballistics!Q23</f>
        <v>4.318424276657806</v>
      </c>
      <c r="V19" s="235">
        <f>Ballistics!Q24</f>
        <v>4.6738745136246305</v>
      </c>
      <c r="W19" s="236">
        <f>Ballistics!Q25</f>
        <v>5.039282552601488</v>
      </c>
      <c r="X19" s="235">
        <f>Ballistics!Q26</f>
        <v>5.414751889272327</v>
      </c>
      <c r="Y19" s="236">
        <f>Ballistics!Q27</f>
        <v>5.800356002382866</v>
      </c>
      <c r="Z19" s="235">
        <f>Ballistics!Q28</f>
        <v>6.196134366498961</v>
      </c>
      <c r="AA19" s="236">
        <f>Ballistics!Q29</f>
        <v>6.602088358379881</v>
      </c>
      <c r="AB19" s="235">
        <f>Ballistics!Q30</f>
        <v>7.018177123983209</v>
      </c>
      <c r="AC19" s="236">
        <f>Ballistics!Q31</f>
        <v>7.444919655988899</v>
      </c>
      <c r="AD19" s="235">
        <f>Ballistics!Q32</f>
        <v>7.882237440245459</v>
      </c>
      <c r="AE19" s="236">
        <f>Ballistics!Q33</f>
        <v>8.330667933519</v>
      </c>
      <c r="AF19" s="235">
        <f>Ballistics!Q34</f>
        <v>8.790086003963104</v>
      </c>
      <c r="AG19" s="236">
        <f>Ballistics!Q35</f>
        <v>9.261043617777862</v>
      </c>
      <c r="AH19" s="235">
        <f>Ballistics!Q36</f>
        <v>9.743358730318054</v>
      </c>
      <c r="AI19" s="236">
        <f>Ballistics!Q37</f>
        <v>10.23840823526855</v>
      </c>
      <c r="AJ19" s="235">
        <f>Ballistics!Q38</f>
        <v>10.745164992025305</v>
      </c>
      <c r="AK19" s="236">
        <f>Ballistics!Q39</f>
        <v>11.265095667935185</v>
      </c>
      <c r="AL19" s="235">
        <f>Ballistics!Q40</f>
        <v>11.797955348219377</v>
      </c>
      <c r="AM19" s="236">
        <f>Ballistics!Q41</f>
        <v>12.343409893673922</v>
      </c>
      <c r="AN19" s="235">
        <f>Ballistics!Q42</f>
        <v>12.903111386211235</v>
      </c>
      <c r="AO19" s="236">
        <f>Ballistics!Q43</f>
        <v>13.476725152941636</v>
      </c>
      <c r="AP19" s="237">
        <f>Ballistics!Q44</f>
        <v>14.064960447059283</v>
      </c>
      <c r="AQ19" s="174" t="s">
        <v>79</v>
      </c>
    </row>
    <row r="20" spans="1:43" s="5" customFormat="1" ht="12.75">
      <c r="A20" s="179" t="s">
        <v>80</v>
      </c>
      <c r="B20" s="238"/>
      <c r="C20" s="239">
        <f aca="true" t="shared" si="7" ref="C20:AP20">C19*$B$21*365.23/C3</f>
        <v>0</v>
      </c>
      <c r="D20" s="240">
        <f t="shared" si="7"/>
        <v>0</v>
      </c>
      <c r="E20" s="239">
        <f t="shared" si="7"/>
        <v>0</v>
      </c>
      <c r="F20" s="240">
        <f t="shared" si="7"/>
        <v>0</v>
      </c>
      <c r="G20" s="239">
        <f t="shared" si="7"/>
        <v>0</v>
      </c>
      <c r="H20" s="240">
        <f t="shared" si="7"/>
        <v>0</v>
      </c>
      <c r="I20" s="239">
        <f t="shared" si="7"/>
        <v>0</v>
      </c>
      <c r="J20" s="240">
        <f t="shared" si="7"/>
        <v>0</v>
      </c>
      <c r="K20" s="239">
        <f t="shared" si="7"/>
        <v>0</v>
      </c>
      <c r="L20" s="240">
        <f t="shared" si="7"/>
        <v>0</v>
      </c>
      <c r="M20" s="239">
        <f t="shared" si="7"/>
        <v>0</v>
      </c>
      <c r="N20" s="240">
        <f t="shared" si="7"/>
        <v>0</v>
      </c>
      <c r="O20" s="239">
        <f t="shared" si="7"/>
        <v>0</v>
      </c>
      <c r="P20" s="240">
        <f t="shared" si="7"/>
        <v>0</v>
      </c>
      <c r="Q20" s="239">
        <f t="shared" si="7"/>
        <v>0</v>
      </c>
      <c r="R20" s="240">
        <f t="shared" si="7"/>
        <v>0</v>
      </c>
      <c r="S20" s="239">
        <f t="shared" si="7"/>
        <v>0</v>
      </c>
      <c r="T20" s="240">
        <f t="shared" si="7"/>
        <v>0</v>
      </c>
      <c r="U20" s="239">
        <f t="shared" si="7"/>
        <v>0</v>
      </c>
      <c r="V20" s="240">
        <f t="shared" si="7"/>
        <v>0</v>
      </c>
      <c r="W20" s="239">
        <f t="shared" si="7"/>
        <v>0</v>
      </c>
      <c r="X20" s="240">
        <f t="shared" si="7"/>
        <v>0</v>
      </c>
      <c r="Y20" s="239">
        <f t="shared" si="7"/>
        <v>0</v>
      </c>
      <c r="Z20" s="240">
        <f t="shared" si="7"/>
        <v>0</v>
      </c>
      <c r="AA20" s="239">
        <f t="shared" si="7"/>
        <v>0</v>
      </c>
      <c r="AB20" s="240">
        <f t="shared" si="7"/>
        <v>0</v>
      </c>
      <c r="AC20" s="239">
        <f t="shared" si="7"/>
        <v>0</v>
      </c>
      <c r="AD20" s="240">
        <f t="shared" si="7"/>
        <v>0</v>
      </c>
      <c r="AE20" s="239">
        <f t="shared" si="7"/>
        <v>0</v>
      </c>
      <c r="AF20" s="240">
        <f t="shared" si="7"/>
        <v>0</v>
      </c>
      <c r="AG20" s="239">
        <f t="shared" si="7"/>
        <v>0</v>
      </c>
      <c r="AH20" s="240">
        <f t="shared" si="7"/>
        <v>0</v>
      </c>
      <c r="AI20" s="239">
        <f t="shared" si="7"/>
        <v>0</v>
      </c>
      <c r="AJ20" s="240">
        <f t="shared" si="7"/>
        <v>0</v>
      </c>
      <c r="AK20" s="239">
        <f t="shared" si="7"/>
        <v>0</v>
      </c>
      <c r="AL20" s="240">
        <f t="shared" si="7"/>
        <v>0</v>
      </c>
      <c r="AM20" s="239">
        <f t="shared" si="7"/>
        <v>0</v>
      </c>
      <c r="AN20" s="240">
        <f t="shared" si="7"/>
        <v>0</v>
      </c>
      <c r="AO20" s="239">
        <f t="shared" si="7"/>
        <v>0</v>
      </c>
      <c r="AP20" s="241">
        <f t="shared" si="7"/>
        <v>0</v>
      </c>
      <c r="AQ20" s="179" t="s">
        <v>80</v>
      </c>
    </row>
    <row r="21" spans="1:43" s="39" customFormat="1" ht="12.75">
      <c r="A21" s="6" t="s">
        <v>100</v>
      </c>
      <c r="B21" s="6">
        <f>Ballistics!B22</f>
        <v>0</v>
      </c>
      <c r="C21" s="6" t="s">
        <v>45</v>
      </c>
      <c r="AQ21" s="6"/>
    </row>
    <row r="22" ht="8.25" customHeight="1"/>
    <row r="23" spans="1:8" ht="15">
      <c r="A23" s="53" t="s">
        <v>81</v>
      </c>
      <c r="B23" s="54"/>
      <c r="C23" s="54"/>
      <c r="D23" s="55"/>
      <c r="E23" s="56"/>
      <c r="F23" s="53" t="s">
        <v>82</v>
      </c>
      <c r="G23" s="54"/>
      <c r="H23" s="57"/>
    </row>
    <row r="24" spans="1:8" ht="14.25">
      <c r="A24" s="58" t="s">
        <v>83</v>
      </c>
      <c r="B24" s="74">
        <v>913</v>
      </c>
      <c r="C24" s="59"/>
      <c r="D24" s="60"/>
      <c r="E24" s="61"/>
      <c r="F24" s="58" t="s">
        <v>84</v>
      </c>
      <c r="G24" s="62"/>
      <c r="H24" s="77">
        <v>23.25</v>
      </c>
    </row>
    <row r="25" spans="1:8" ht="14.25">
      <c r="A25" s="58" t="s">
        <v>85</v>
      </c>
      <c r="B25" s="75">
        <v>23.4</v>
      </c>
      <c r="C25" s="62"/>
      <c r="D25" s="60"/>
      <c r="E25" s="61"/>
      <c r="F25" s="58" t="s">
        <v>86</v>
      </c>
      <c r="G25" s="62"/>
      <c r="H25" s="77">
        <v>11.5</v>
      </c>
    </row>
    <row r="26" spans="1:8" ht="14.25">
      <c r="A26" s="58" t="s">
        <v>87</v>
      </c>
      <c r="B26" s="74">
        <v>867</v>
      </c>
      <c r="C26" s="62"/>
      <c r="D26" s="60"/>
      <c r="E26" s="61"/>
      <c r="F26" s="63" t="s">
        <v>88</v>
      </c>
      <c r="G26" s="64"/>
      <c r="H26" s="65">
        <f>H24-H25</f>
        <v>11.75</v>
      </c>
    </row>
    <row r="27" spans="1:8" ht="15">
      <c r="A27" s="58" t="s">
        <v>89</v>
      </c>
      <c r="B27" s="75">
        <v>20.3</v>
      </c>
      <c r="C27" s="66"/>
      <c r="D27" s="60"/>
      <c r="E27" s="61"/>
      <c r="F27" s="67"/>
      <c r="G27" s="67"/>
      <c r="H27" s="67"/>
    </row>
    <row r="28" spans="1:8" ht="14.25">
      <c r="A28" s="63" t="s">
        <v>90</v>
      </c>
      <c r="B28" s="76">
        <v>900</v>
      </c>
      <c r="C28" s="68">
        <f>((B28-B26)*(B25-B27)/(B24-B26))+B27</f>
        <v>22.52391304347826</v>
      </c>
      <c r="D28" s="69"/>
      <c r="E28" s="61"/>
      <c r="F28" s="67"/>
      <c r="G28" s="67"/>
      <c r="H28" s="67"/>
    </row>
  </sheetData>
  <sheetProtection/>
  <printOptions/>
  <pageMargins left="0.5" right="0.25" top="1" bottom="1" header="0.5" footer="0.5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0" width="6.625" style="0" customWidth="1"/>
  </cols>
  <sheetData>
    <row r="1" spans="1:10" ht="12.75">
      <c r="A1" s="6" t="s">
        <v>142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5" t="s">
        <v>145</v>
      </c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5"/>
      <c r="B4" s="6" t="s">
        <v>144</v>
      </c>
      <c r="C4" s="5"/>
      <c r="D4" s="5"/>
      <c r="E4" s="5"/>
      <c r="F4" s="5"/>
      <c r="G4" s="5"/>
      <c r="H4" s="5"/>
      <c r="I4" s="5"/>
      <c r="J4" s="5"/>
    </row>
    <row r="5" spans="1:10" ht="12.75">
      <c r="A5" s="190" t="s">
        <v>143</v>
      </c>
      <c r="B5" s="191">
        <v>100</v>
      </c>
      <c r="C5" s="191">
        <v>200</v>
      </c>
      <c r="D5" s="191">
        <v>300</v>
      </c>
      <c r="E5" s="191">
        <v>440</v>
      </c>
      <c r="F5" s="191">
        <v>550</v>
      </c>
      <c r="G5" s="191">
        <v>660</v>
      </c>
      <c r="H5" s="191">
        <v>770</v>
      </c>
      <c r="I5" s="191">
        <v>880</v>
      </c>
      <c r="J5" s="192">
        <v>990</v>
      </c>
    </row>
    <row r="6" spans="1:10" ht="12.75">
      <c r="A6" s="193">
        <v>30</v>
      </c>
      <c r="B6" s="194"/>
      <c r="C6" s="194">
        <v>0</v>
      </c>
      <c r="D6" s="194"/>
      <c r="E6" s="194"/>
      <c r="F6" s="194"/>
      <c r="G6" s="194"/>
      <c r="H6" s="194"/>
      <c r="I6" s="194"/>
      <c r="J6" s="195"/>
    </row>
    <row r="7" spans="1:10" ht="12.75">
      <c r="A7" s="193">
        <v>40</v>
      </c>
      <c r="B7" s="194"/>
      <c r="C7" s="194">
        <v>0</v>
      </c>
      <c r="D7" s="194"/>
      <c r="E7" s="194"/>
      <c r="F7" s="194"/>
      <c r="G7" s="194"/>
      <c r="H7" s="194"/>
      <c r="I7" s="194"/>
      <c r="J7" s="195"/>
    </row>
    <row r="8" spans="1:10" ht="12.75">
      <c r="A8" s="193">
        <v>50</v>
      </c>
      <c r="B8" s="194"/>
      <c r="C8" s="194">
        <v>0</v>
      </c>
      <c r="D8" s="194"/>
      <c r="E8" s="194"/>
      <c r="F8" s="194"/>
      <c r="G8" s="194"/>
      <c r="H8" s="194"/>
      <c r="I8" s="194"/>
      <c r="J8" s="195"/>
    </row>
    <row r="9" spans="1:10" ht="12.75">
      <c r="A9" s="193">
        <v>60</v>
      </c>
      <c r="B9" s="194"/>
      <c r="C9" s="194">
        <v>0</v>
      </c>
      <c r="D9" s="194"/>
      <c r="E9" s="194"/>
      <c r="F9" s="194"/>
      <c r="G9" s="194"/>
      <c r="H9" s="194"/>
      <c r="I9" s="194"/>
      <c r="J9" s="195"/>
    </row>
    <row r="10" spans="1:10" ht="12.75">
      <c r="A10" s="193">
        <v>70</v>
      </c>
      <c r="B10" s="194"/>
      <c r="C10" s="194">
        <v>0</v>
      </c>
      <c r="D10" s="194"/>
      <c r="E10" s="194"/>
      <c r="F10" s="194"/>
      <c r="G10" s="194"/>
      <c r="H10" s="194"/>
      <c r="I10" s="194"/>
      <c r="J10" s="195"/>
    </row>
    <row r="11" spans="1:10" ht="13.5" thickBot="1">
      <c r="A11" s="196">
        <v>80</v>
      </c>
      <c r="B11" s="197"/>
      <c r="C11" s="197">
        <v>0</v>
      </c>
      <c r="D11" s="197"/>
      <c r="E11" s="197"/>
      <c r="F11" s="197"/>
      <c r="G11" s="197"/>
      <c r="H11" s="197"/>
      <c r="I11" s="197"/>
      <c r="J11" s="198"/>
    </row>
    <row r="12" spans="1:10" ht="12">
      <c r="A12" s="189"/>
      <c r="B12" s="189"/>
      <c r="C12" s="189"/>
      <c r="D12" s="189"/>
      <c r="E12" s="189"/>
      <c r="F12" s="189"/>
      <c r="G12" s="189"/>
      <c r="H12" s="189"/>
      <c r="I12" s="189"/>
      <c r="J12" s="18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zoomScalePageLayoutView="0" workbookViewId="0" topLeftCell="A2">
      <selection activeCell="A3" sqref="A3"/>
    </sheetView>
  </sheetViews>
  <sheetFormatPr defaultColWidth="9.00390625" defaultRowHeight="12.75"/>
  <cols>
    <col min="1" max="2" width="6.625" style="0" customWidth="1"/>
    <col min="3" max="3" width="11.00390625" style="0" customWidth="1"/>
    <col min="4" max="4" width="11.125" style="0" customWidth="1"/>
    <col min="5" max="5" width="4.25390625" style="0" customWidth="1"/>
    <col min="7" max="7" width="2.125" style="0" customWidth="1"/>
    <col min="8" max="8" width="20.25390625" style="0" customWidth="1"/>
    <col min="9" max="9" width="4.75390625" style="0" customWidth="1"/>
    <col min="11" max="11" width="6.625" style="0" customWidth="1"/>
    <col min="12" max="12" width="8.75390625" style="0" customWidth="1"/>
    <col min="13" max="13" width="4.375" style="0" customWidth="1"/>
    <col min="15" max="15" width="8.125" style="0" customWidth="1"/>
  </cols>
  <sheetData>
    <row r="1" spans="1:5" ht="23.25">
      <c r="A1" s="3" t="s">
        <v>116</v>
      </c>
      <c r="B1" s="5"/>
      <c r="C1" s="5"/>
      <c r="D1" s="5"/>
      <c r="E1" s="5"/>
    </row>
    <row r="2" spans="1:5" ht="23.25">
      <c r="A2" s="3" t="s">
        <v>117</v>
      </c>
      <c r="B2" s="5"/>
      <c r="C2" s="5"/>
      <c r="D2" s="5"/>
      <c r="E2" s="5"/>
    </row>
    <row r="3" spans="1:6" ht="15.75">
      <c r="A3" s="4"/>
      <c r="B3" s="46"/>
      <c r="C3" s="46"/>
      <c r="D3" s="101"/>
      <c r="F3" s="84">
        <v>5</v>
      </c>
    </row>
    <row r="4" spans="1:6" ht="15.75">
      <c r="A4" s="85" t="s">
        <v>47</v>
      </c>
      <c r="B4" s="86" t="s">
        <v>48</v>
      </c>
      <c r="C4" s="87" t="s">
        <v>72</v>
      </c>
      <c r="D4" s="88" t="s">
        <v>118</v>
      </c>
      <c r="E4" s="89"/>
      <c r="F4" s="46">
        <v>4.5</v>
      </c>
    </row>
    <row r="5" spans="1:6" ht="15.75">
      <c r="A5" s="95">
        <f>Trajectory!D$3</f>
        <v>200</v>
      </c>
      <c r="B5" s="31">
        <f aca="true" t="shared" si="0" ref="B5:B21">A5*0.913</f>
        <v>182.6</v>
      </c>
      <c r="C5" s="92">
        <f>Trajectory!D6</f>
        <v>-0.3828653060939777</v>
      </c>
      <c r="D5" s="93">
        <f>Trajectory!D13</f>
        <v>0.1429128206602735</v>
      </c>
      <c r="E5" s="94"/>
      <c r="F5" s="84">
        <v>4</v>
      </c>
    </row>
    <row r="6" spans="1:6" ht="15.75">
      <c r="A6" s="90">
        <f>Trajectory!F$3</f>
        <v>400</v>
      </c>
      <c r="B6" s="91">
        <f t="shared" si="0"/>
        <v>365.2</v>
      </c>
      <c r="C6" s="92">
        <f>Trajectory!F6</f>
        <v>-1.8523537912030332</v>
      </c>
      <c r="D6" s="93"/>
      <c r="E6" s="94"/>
      <c r="F6" s="46">
        <v>3.5</v>
      </c>
    </row>
    <row r="7" spans="1:6" ht="15.75">
      <c r="A7" s="95">
        <f>Trajectory!H$3</f>
        <v>600</v>
      </c>
      <c r="B7" s="31">
        <f t="shared" si="0"/>
        <v>547.8000000000001</v>
      </c>
      <c r="C7" s="92">
        <f>Trajectory!H6</f>
        <v>-3.7619154828705925</v>
      </c>
      <c r="D7" s="93">
        <f>Trajectory!H13</f>
        <v>0.5020453079675198</v>
      </c>
      <c r="E7" s="94"/>
      <c r="F7" s="84">
        <v>3</v>
      </c>
    </row>
    <row r="8" spans="1:6" ht="15.75">
      <c r="A8" s="90">
        <f>Trajectory!J$3</f>
        <v>800</v>
      </c>
      <c r="B8" s="91">
        <f t="shared" si="0"/>
        <v>730.4</v>
      </c>
      <c r="C8" s="92">
        <f>Trajectory!J6</f>
        <v>-6.218134310057474</v>
      </c>
      <c r="D8" s="93"/>
      <c r="E8" s="94"/>
      <c r="F8" s="46">
        <v>2.5</v>
      </c>
    </row>
    <row r="9" spans="1:6" ht="15.75">
      <c r="A9" s="95">
        <f>Trajectory!L$3</f>
        <v>1000</v>
      </c>
      <c r="B9" s="31">
        <f t="shared" si="0"/>
        <v>913</v>
      </c>
      <c r="C9" s="92">
        <f>Trajectory!L6</f>
        <v>-9.308195068441194</v>
      </c>
      <c r="D9" s="93">
        <f>Trajectory!L13</f>
        <v>0.9812379010331932</v>
      </c>
      <c r="E9" s="94"/>
      <c r="F9" s="84">
        <v>2</v>
      </c>
    </row>
    <row r="10" spans="1:6" ht="15.75">
      <c r="A10" s="90">
        <f>Trajectory!N$3</f>
        <v>1200</v>
      </c>
      <c r="B10" s="91">
        <f t="shared" si="0"/>
        <v>1095.6000000000001</v>
      </c>
      <c r="C10" s="92">
        <f>Trajectory!N6</f>
        <v>-13.234889810726608</v>
      </c>
      <c r="D10" s="93"/>
      <c r="E10" s="94"/>
      <c r="F10" s="46">
        <v>1.5</v>
      </c>
    </row>
    <row r="11" spans="1:6" ht="15.75">
      <c r="A11" s="95">
        <f>Trajectory!P$3</f>
        <v>1400</v>
      </c>
      <c r="B11" s="31">
        <f t="shared" si="0"/>
        <v>1278.2</v>
      </c>
      <c r="C11" s="92">
        <f>Trajectory!P6</f>
        <v>-18.163574609030775</v>
      </c>
      <c r="D11" s="93">
        <f>Trajectory!P13</f>
        <v>1.5480604128882647</v>
      </c>
      <c r="E11" s="94"/>
      <c r="F11" s="84">
        <v>1</v>
      </c>
    </row>
    <row r="12" spans="1:6" ht="15.75">
      <c r="A12" s="90">
        <f>Trajectory!R$3</f>
        <v>1600</v>
      </c>
      <c r="B12" s="91">
        <f t="shared" si="0"/>
        <v>1460.8</v>
      </c>
      <c r="C12" s="92">
        <f>Trajectory!R6</f>
        <v>-24.04789549227289</v>
      </c>
      <c r="D12" s="93"/>
      <c r="E12" s="94"/>
      <c r="F12" s="46">
        <v>0.5</v>
      </c>
    </row>
    <row r="13" spans="1:6" ht="15.75">
      <c r="A13" s="167">
        <f>Trajectory!T$3</f>
        <v>1800</v>
      </c>
      <c r="B13" s="31">
        <f t="shared" si="0"/>
        <v>1643.4</v>
      </c>
      <c r="C13" s="92">
        <f>Trajectory!T6</f>
        <v>-30.729929441871896</v>
      </c>
      <c r="D13" s="93">
        <f>Trajectory!T13</f>
        <v>2.0979977688627875</v>
      </c>
      <c r="E13" s="94"/>
      <c r="F13" s="84">
        <v>0</v>
      </c>
    </row>
    <row r="14" spans="1:6" ht="15.75">
      <c r="A14" s="90">
        <f>Trajectory!V$3</f>
        <v>2000</v>
      </c>
      <c r="B14" s="91">
        <f t="shared" si="0"/>
        <v>1826</v>
      </c>
      <c r="C14" s="92">
        <f>Trajectory!V6</f>
        <v>-38.462245236764154</v>
      </c>
      <c r="D14" s="93"/>
      <c r="E14" s="94"/>
      <c r="F14" s="46">
        <v>-0.5</v>
      </c>
    </row>
    <row r="15" spans="1:6" ht="15.75">
      <c r="A15" s="95">
        <f>Trajectory!X$3</f>
        <v>2200</v>
      </c>
      <c r="B15" s="31">
        <f t="shared" si="0"/>
        <v>2008.6000000000001</v>
      </c>
      <c r="C15" s="92">
        <f>Trajectory!X6</f>
        <v>-46.802085350997416</v>
      </c>
      <c r="D15" s="93">
        <f>Trajectory!X13</f>
        <v>2.610104426272374</v>
      </c>
      <c r="E15" s="94"/>
      <c r="F15" s="84">
        <v>-1</v>
      </c>
    </row>
    <row r="16" spans="1:6" ht="15.75">
      <c r="A16" s="90">
        <f>Trajectory!Z$3</f>
        <v>2400</v>
      </c>
      <c r="B16" s="91">
        <f t="shared" si="0"/>
        <v>2191.2000000000003</v>
      </c>
      <c r="C16" s="92">
        <f>Trajectory!Z6</f>
        <v>-56.09739594171573</v>
      </c>
      <c r="D16" s="93"/>
      <c r="E16" s="94"/>
      <c r="F16" s="46">
        <v>-1.5</v>
      </c>
    </row>
    <row r="17" spans="1:6" ht="15.75">
      <c r="A17" s="95">
        <f>Trajectory!AB$3</f>
        <v>2600</v>
      </c>
      <c r="B17" s="31">
        <f t="shared" si="0"/>
        <v>2373.8</v>
      </c>
      <c r="C17" s="92">
        <f>Trajectory!AB6</f>
        <v>-65.96923914735655</v>
      </c>
      <c r="D17" s="93">
        <f>Trajectory!AB13</f>
        <v>3.075139322479052</v>
      </c>
      <c r="E17" s="94"/>
      <c r="F17" s="84">
        <v>-2</v>
      </c>
    </row>
    <row r="18" spans="1:6" ht="15.75">
      <c r="A18" s="90">
        <f>Trajectory!AD$3</f>
        <v>2800</v>
      </c>
      <c r="B18" s="91">
        <f t="shared" si="0"/>
        <v>2556.4</v>
      </c>
      <c r="C18" s="92">
        <f>Trajectory!AD6</f>
        <v>-76.80259779126044</v>
      </c>
      <c r="D18" s="93"/>
      <c r="E18" s="94"/>
      <c r="F18" s="46">
        <v>-2.5</v>
      </c>
    </row>
    <row r="19" spans="1:6" ht="15.75">
      <c r="A19" s="95">
        <f>Trajectory!AF$3</f>
        <v>3000</v>
      </c>
      <c r="B19" s="31">
        <f t="shared" si="0"/>
        <v>2739</v>
      </c>
      <c r="C19" s="92">
        <f>Trajectory!AF6</f>
        <v>-88.76717374546928</v>
      </c>
      <c r="D19" s="93">
        <f>Trajectory!AF13</f>
        <v>3.5247811474612725</v>
      </c>
      <c r="E19" s="94"/>
      <c r="F19" s="84">
        <v>-3</v>
      </c>
    </row>
    <row r="20" spans="1:6" ht="15.75">
      <c r="A20" s="90">
        <f>Trajectory!AH$3</f>
        <v>3200</v>
      </c>
      <c r="B20" s="91">
        <f t="shared" si="0"/>
        <v>2921.6</v>
      </c>
      <c r="C20" s="92">
        <f>Trajectory!AH6</f>
        <v>-101.61331618999317</v>
      </c>
      <c r="D20" s="93"/>
      <c r="E20" s="94"/>
      <c r="F20" s="46">
        <v>-3.5</v>
      </c>
    </row>
    <row r="21" spans="1:6" ht="15.75">
      <c r="A21" s="165">
        <f>Trajectory!AJ$3</f>
        <v>3400</v>
      </c>
      <c r="B21" s="166">
        <f t="shared" si="0"/>
        <v>3104.2000000000003</v>
      </c>
      <c r="C21" s="96">
        <f>Trajectory!AJ6</f>
        <v>-115.7371631324485</v>
      </c>
      <c r="D21" s="97">
        <f>Trajectory!AJ13</f>
        <v>3.9726298627988514</v>
      </c>
      <c r="E21" s="94"/>
      <c r="F21" s="84">
        <v>-4</v>
      </c>
    </row>
    <row r="22" spans="1:6" ht="15.75" thickBot="1">
      <c r="A22" s="98"/>
      <c r="B22" s="99"/>
      <c r="C22" s="5"/>
      <c r="F22" s="46">
        <v>-4.5</v>
      </c>
    </row>
    <row r="23" spans="1:6" ht="15.75">
      <c r="A23" s="149" t="s">
        <v>74</v>
      </c>
      <c r="B23" s="150"/>
      <c r="C23" s="151"/>
      <c r="D23" s="152">
        <f>Ballistics!B21</f>
        <v>4</v>
      </c>
      <c r="F23" s="84">
        <v>-5</v>
      </c>
    </row>
    <row r="24" spans="1:5" ht="15.75">
      <c r="A24" s="153" t="s">
        <v>132</v>
      </c>
      <c r="B24" s="154"/>
      <c r="C24" s="155"/>
      <c r="D24" s="156">
        <f>Ballistics!B20</f>
        <v>100</v>
      </c>
      <c r="E24" s="5"/>
    </row>
    <row r="25" spans="1:5" ht="15.75">
      <c r="A25" s="153" t="s">
        <v>63</v>
      </c>
      <c r="B25" s="154"/>
      <c r="C25" s="155"/>
      <c r="D25" s="156" t="str">
        <f>Ballistics!B3</f>
        <v>Home load</v>
      </c>
      <c r="E25" s="5"/>
    </row>
    <row r="26" spans="1:5" ht="15.75">
      <c r="A26" s="157" t="s">
        <v>133</v>
      </c>
      <c r="B26" s="155"/>
      <c r="C26" s="155"/>
      <c r="D26" s="156">
        <f>Ballistics!B13</f>
        <v>155</v>
      </c>
      <c r="E26" s="5"/>
    </row>
    <row r="27" spans="1:5" ht="15.75">
      <c r="A27" s="157" t="s">
        <v>33</v>
      </c>
      <c r="B27" s="155"/>
      <c r="C27" s="155"/>
      <c r="D27" s="156">
        <f>Ballistics!B12</f>
        <v>2807</v>
      </c>
      <c r="E27" s="5"/>
    </row>
    <row r="28" spans="1:4" ht="16.5" thickBot="1">
      <c r="A28" s="158" t="s">
        <v>36</v>
      </c>
      <c r="B28" s="159"/>
      <c r="C28" s="159"/>
      <c r="D28" s="160">
        <f>Ballistics!B17</f>
        <v>150</v>
      </c>
    </row>
    <row r="29" spans="1:3" ht="15.75">
      <c r="A29" s="49"/>
      <c r="B29" s="100"/>
      <c r="C29" s="49"/>
    </row>
    <row r="30" spans="1:3" ht="15">
      <c r="A30" s="28"/>
      <c r="B30" s="28"/>
      <c r="C30" s="28"/>
    </row>
    <row r="31" spans="1:3" ht="15">
      <c r="A31" s="28"/>
      <c r="B31" s="28"/>
      <c r="C31" s="28"/>
    </row>
    <row r="32" spans="1:3" ht="15">
      <c r="A32" s="28"/>
      <c r="B32" s="28"/>
      <c r="C32" s="28"/>
    </row>
    <row r="33" spans="1:3" ht="15">
      <c r="A33" s="28"/>
      <c r="B33" s="28"/>
      <c r="C33" s="28"/>
    </row>
  </sheetData>
  <sheetProtection/>
  <printOptions/>
  <pageMargins left="0.75" right="0.75" top="1" bottom="1" header="0.5" footer="0.5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5"/>
  <sheetViews>
    <sheetView zoomScale="75" zoomScaleNormal="75" zoomScalePageLayoutView="0" workbookViewId="0" topLeftCell="A1">
      <selection activeCell="R30" sqref="R30"/>
    </sheetView>
  </sheetViews>
  <sheetFormatPr defaultColWidth="9.00390625" defaultRowHeight="12.75"/>
  <cols>
    <col min="1" max="1" width="10.375" style="0" customWidth="1"/>
    <col min="2" max="2" width="10.25390625" style="0" customWidth="1"/>
    <col min="3" max="3" width="7.125" style="0" customWidth="1"/>
    <col min="4" max="4" width="7.375" style="0" customWidth="1"/>
    <col min="5" max="5" width="6.625" style="0" customWidth="1"/>
    <col min="6" max="6" width="1.12109375" style="0" customWidth="1"/>
    <col min="7" max="8" width="6.625" style="0" customWidth="1"/>
    <col min="9" max="9" width="4.125" style="0" customWidth="1"/>
    <col min="10" max="10" width="6.625" style="0" customWidth="1"/>
    <col min="11" max="11" width="6.50390625" style="0" customWidth="1"/>
    <col min="12" max="12" width="2.875" style="0" customWidth="1"/>
    <col min="13" max="13" width="18.00390625" style="0" customWidth="1"/>
    <col min="14" max="14" width="13.00390625" style="0" customWidth="1"/>
    <col min="15" max="15" width="20.25390625" style="0" customWidth="1"/>
    <col min="16" max="16" width="3.625" style="0" customWidth="1"/>
    <col min="17" max="17" width="18.75390625" style="0" bestFit="1" customWidth="1"/>
    <col min="18" max="18" width="7.875" style="0" customWidth="1"/>
  </cols>
  <sheetData>
    <row r="1" spans="1:2" ht="23.25">
      <c r="A1" s="3" t="s">
        <v>62</v>
      </c>
      <c r="B1" s="5"/>
    </row>
    <row r="2" ht="4.5" customHeight="1">
      <c r="B2" s="5"/>
    </row>
    <row r="3" spans="1:18" s="8" customFormat="1" ht="15.75">
      <c r="A3" s="40" t="s">
        <v>30</v>
      </c>
      <c r="B3" s="41" t="s">
        <v>31</v>
      </c>
      <c r="C3"/>
      <c r="D3" s="44" t="s">
        <v>48</v>
      </c>
      <c r="E3" s="44" t="s">
        <v>47</v>
      </c>
      <c r="F3" s="39"/>
      <c r="G3" s="44" t="s">
        <v>47</v>
      </c>
      <c r="H3" s="44" t="s">
        <v>48</v>
      </c>
      <c r="I3"/>
      <c r="J3" s="18" t="s">
        <v>66</v>
      </c>
      <c r="K3" s="19"/>
      <c r="L3"/>
      <c r="M3" s="24" t="s">
        <v>61</v>
      </c>
      <c r="N3" s="25"/>
      <c r="O3" s="20"/>
      <c r="Q3" s="71" t="s">
        <v>91</v>
      </c>
      <c r="R3" s="70"/>
    </row>
    <row r="4" spans="1:18" ht="15.75">
      <c r="A4" s="168">
        <v>40</v>
      </c>
      <c r="B4" s="9">
        <v>104</v>
      </c>
      <c r="D4" s="10">
        <v>100</v>
      </c>
      <c r="E4" s="10">
        <v>110</v>
      </c>
      <c r="G4" s="10">
        <v>100</v>
      </c>
      <c r="H4" s="10">
        <v>91</v>
      </c>
      <c r="J4" s="37" t="s">
        <v>57</v>
      </c>
      <c r="K4" s="38" t="s">
        <v>58</v>
      </c>
      <c r="M4" s="32" t="s">
        <v>59</v>
      </c>
      <c r="N4" s="33" t="s">
        <v>60</v>
      </c>
      <c r="O4" s="34" t="s">
        <v>64</v>
      </c>
      <c r="Q4" s="72" t="s">
        <v>92</v>
      </c>
      <c r="R4" s="187">
        <v>0.965925826</v>
      </c>
    </row>
    <row r="5" spans="1:18" ht="15">
      <c r="A5" s="10">
        <v>35</v>
      </c>
      <c r="B5" s="26">
        <v>95</v>
      </c>
      <c r="C5" s="8"/>
      <c r="D5" s="11">
        <v>150</v>
      </c>
      <c r="E5" s="11">
        <v>164</v>
      </c>
      <c r="G5" s="11">
        <v>150</v>
      </c>
      <c r="H5" s="11">
        <v>137</v>
      </c>
      <c r="I5" s="8"/>
      <c r="J5" s="21">
        <v>1</v>
      </c>
      <c r="K5" s="22">
        <v>8</v>
      </c>
      <c r="L5" s="8"/>
      <c r="M5" s="22">
        <v>0</v>
      </c>
      <c r="N5" s="22">
        <v>59</v>
      </c>
      <c r="O5" s="22">
        <v>29.92</v>
      </c>
      <c r="Q5" s="72" t="s">
        <v>93</v>
      </c>
      <c r="R5" s="188">
        <v>0.866025403</v>
      </c>
    </row>
    <row r="6" spans="1:18" ht="15">
      <c r="A6" s="11">
        <v>30</v>
      </c>
      <c r="B6" s="9">
        <v>86</v>
      </c>
      <c r="D6" s="10">
        <v>200</v>
      </c>
      <c r="E6" s="10">
        <v>219</v>
      </c>
      <c r="G6" s="10">
        <v>200</v>
      </c>
      <c r="H6" s="10">
        <v>183</v>
      </c>
      <c r="J6" s="21">
        <v>0.875</v>
      </c>
      <c r="K6" s="22">
        <v>7</v>
      </c>
      <c r="M6" s="22">
        <v>500</v>
      </c>
      <c r="N6" s="22">
        <v>57.2</v>
      </c>
      <c r="O6" s="22">
        <v>29.45</v>
      </c>
      <c r="Q6" s="72" t="s">
        <v>94</v>
      </c>
      <c r="R6" s="188">
        <v>0.707106781</v>
      </c>
    </row>
    <row r="7" spans="1:15" ht="15">
      <c r="A7" s="10">
        <v>25</v>
      </c>
      <c r="B7" s="26">
        <v>77</v>
      </c>
      <c r="D7" s="11">
        <v>250</v>
      </c>
      <c r="E7" s="11">
        <v>273</v>
      </c>
      <c r="G7" s="11">
        <v>250</v>
      </c>
      <c r="H7" s="11">
        <v>228</v>
      </c>
      <c r="J7" s="21">
        <v>0.75</v>
      </c>
      <c r="K7" s="22">
        <v>6</v>
      </c>
      <c r="M7" s="22">
        <v>1000</v>
      </c>
      <c r="N7" s="22">
        <v>55.4</v>
      </c>
      <c r="O7" s="22">
        <v>28.99</v>
      </c>
    </row>
    <row r="8" spans="1:15" ht="15">
      <c r="A8" s="11">
        <v>20</v>
      </c>
      <c r="B8" s="9">
        <v>68</v>
      </c>
      <c r="D8" s="10">
        <v>300</v>
      </c>
      <c r="E8" s="10">
        <v>328</v>
      </c>
      <c r="G8" s="10">
        <v>300</v>
      </c>
      <c r="H8" s="10">
        <v>274</v>
      </c>
      <c r="J8" s="21">
        <v>0.625</v>
      </c>
      <c r="K8" s="22">
        <v>5</v>
      </c>
      <c r="M8" s="22">
        <v>1500</v>
      </c>
      <c r="N8" s="22">
        <v>53.6</v>
      </c>
      <c r="O8" s="22">
        <v>28.54</v>
      </c>
    </row>
    <row r="9" spans="1:15" ht="15">
      <c r="A9" s="10">
        <v>15</v>
      </c>
      <c r="B9" s="26">
        <v>59</v>
      </c>
      <c r="D9" s="11">
        <v>350</v>
      </c>
      <c r="E9" s="11">
        <v>383</v>
      </c>
      <c r="G9" s="11">
        <v>350</v>
      </c>
      <c r="H9" s="11">
        <v>320</v>
      </c>
      <c r="J9" s="21">
        <v>0.5</v>
      </c>
      <c r="K9" s="22">
        <v>4</v>
      </c>
      <c r="M9" s="22">
        <v>2000</v>
      </c>
      <c r="N9" s="22">
        <v>51.9</v>
      </c>
      <c r="O9" s="22">
        <v>27.08</v>
      </c>
    </row>
    <row r="10" spans="1:18" ht="15.75">
      <c r="A10" s="11">
        <v>10</v>
      </c>
      <c r="B10" s="9">
        <v>50</v>
      </c>
      <c r="D10" s="10">
        <v>400</v>
      </c>
      <c r="E10" s="10">
        <v>437</v>
      </c>
      <c r="G10" s="10">
        <v>400</v>
      </c>
      <c r="H10" s="10">
        <v>356</v>
      </c>
      <c r="J10" s="21">
        <v>0.375</v>
      </c>
      <c r="K10" s="22">
        <v>3</v>
      </c>
      <c r="M10" s="22">
        <v>2500</v>
      </c>
      <c r="N10" s="22">
        <v>50.1</v>
      </c>
      <c r="O10" s="22">
        <v>27.65</v>
      </c>
      <c r="Q10" s="73" t="s">
        <v>99</v>
      </c>
      <c r="R10" s="73" t="s">
        <v>45</v>
      </c>
    </row>
    <row r="11" spans="1:18" ht="15">
      <c r="A11" s="10">
        <v>5</v>
      </c>
      <c r="B11" s="26">
        <v>41</v>
      </c>
      <c r="D11" s="11">
        <v>450</v>
      </c>
      <c r="E11" s="11">
        <v>492</v>
      </c>
      <c r="G11" s="11">
        <v>450</v>
      </c>
      <c r="H11" s="11">
        <v>411</v>
      </c>
      <c r="J11" s="21">
        <v>0.25</v>
      </c>
      <c r="K11" s="22">
        <v>2</v>
      </c>
      <c r="M11" s="22">
        <v>3000</v>
      </c>
      <c r="N11" s="22">
        <v>48.3</v>
      </c>
      <c r="O11" s="22">
        <v>27.21</v>
      </c>
      <c r="Q11" s="72" t="s">
        <v>102</v>
      </c>
      <c r="R11" s="186">
        <v>1.4666</v>
      </c>
    </row>
    <row r="12" spans="1:18" ht="15">
      <c r="A12" s="11">
        <v>0</v>
      </c>
      <c r="B12" s="9">
        <v>32</v>
      </c>
      <c r="D12" s="10">
        <v>500</v>
      </c>
      <c r="E12" s="10">
        <v>547</v>
      </c>
      <c r="G12" s="10">
        <v>500</v>
      </c>
      <c r="H12" s="10">
        <v>457</v>
      </c>
      <c r="J12" s="21">
        <v>0.125</v>
      </c>
      <c r="K12" s="22">
        <v>1</v>
      </c>
      <c r="M12" s="22">
        <v>3500</v>
      </c>
      <c r="N12" s="22">
        <v>46.5</v>
      </c>
      <c r="O12" s="22">
        <v>26.79</v>
      </c>
      <c r="Q12" s="72" t="s">
        <v>103</v>
      </c>
      <c r="R12" s="186">
        <f>SUM(R11*3)</f>
        <v>4.3998</v>
      </c>
    </row>
    <row r="13" spans="1:18" ht="15">
      <c r="A13" s="10">
        <v>-5</v>
      </c>
      <c r="B13" s="26">
        <v>23</v>
      </c>
      <c r="D13" s="11">
        <v>550</v>
      </c>
      <c r="E13" s="11">
        <v>602</v>
      </c>
      <c r="G13" s="11">
        <v>550</v>
      </c>
      <c r="H13" s="11">
        <v>502</v>
      </c>
      <c r="J13" s="17"/>
      <c r="K13" s="17"/>
      <c r="M13" s="22">
        <v>4000</v>
      </c>
      <c r="N13" s="22">
        <v>44.7</v>
      </c>
      <c r="O13" s="22">
        <v>26.37</v>
      </c>
      <c r="Q13" s="72" t="s">
        <v>104</v>
      </c>
      <c r="R13" s="186">
        <f>SUM(R11*4)</f>
        <v>5.8664</v>
      </c>
    </row>
    <row r="14" spans="1:18" ht="15.75">
      <c r="A14" s="11">
        <v>-10</v>
      </c>
      <c r="B14" s="9">
        <v>14</v>
      </c>
      <c r="D14" s="10">
        <v>600</v>
      </c>
      <c r="E14" s="10">
        <v>656</v>
      </c>
      <c r="G14" s="10">
        <v>600</v>
      </c>
      <c r="H14" s="10">
        <v>548</v>
      </c>
      <c r="J14" s="18" t="s">
        <v>65</v>
      </c>
      <c r="K14" s="20"/>
      <c r="M14" s="22">
        <v>4500</v>
      </c>
      <c r="N14" s="22">
        <v>42.9</v>
      </c>
      <c r="O14" s="22">
        <v>25.96</v>
      </c>
      <c r="Q14" s="78" t="s">
        <v>105</v>
      </c>
      <c r="R14" s="186"/>
    </row>
    <row r="15" spans="1:18" ht="15.75">
      <c r="A15" s="10">
        <v>-15</v>
      </c>
      <c r="B15" s="26">
        <v>5</v>
      </c>
      <c r="D15" s="11">
        <v>650</v>
      </c>
      <c r="E15" s="11">
        <v>711</v>
      </c>
      <c r="G15" s="11">
        <v>650</v>
      </c>
      <c r="H15" s="11">
        <v>593</v>
      </c>
      <c r="J15" s="35" t="s">
        <v>57</v>
      </c>
      <c r="K15" s="36" t="s">
        <v>58</v>
      </c>
      <c r="M15" s="22">
        <v>5000</v>
      </c>
      <c r="N15" s="22">
        <v>41.2</v>
      </c>
      <c r="O15" s="22">
        <v>25.54</v>
      </c>
      <c r="Q15" s="79">
        <v>30</v>
      </c>
      <c r="R15" s="186">
        <f>SUM(Q15*R11)</f>
        <v>43.998</v>
      </c>
    </row>
    <row r="16" spans="1:18" ht="15">
      <c r="A16" s="11">
        <v>-20</v>
      </c>
      <c r="B16" s="9">
        <v>-4</v>
      </c>
      <c r="D16" s="10">
        <v>700</v>
      </c>
      <c r="E16" s="10">
        <v>766</v>
      </c>
      <c r="G16" s="10">
        <v>700</v>
      </c>
      <c r="H16" s="10">
        <v>639</v>
      </c>
      <c r="J16" s="21">
        <v>1</v>
      </c>
      <c r="K16" s="22">
        <v>4</v>
      </c>
      <c r="M16" s="22">
        <v>5500</v>
      </c>
      <c r="N16" s="22">
        <v>39.4</v>
      </c>
      <c r="O16" s="22">
        <v>25.15</v>
      </c>
      <c r="Q16" s="79">
        <v>20</v>
      </c>
      <c r="R16" s="186">
        <f>SUM(Q16*R11)</f>
        <v>29.331999999999997</v>
      </c>
    </row>
    <row r="17" spans="1:15" ht="15">
      <c r="A17" s="12">
        <v>-25</v>
      </c>
      <c r="B17" s="27">
        <v>-13</v>
      </c>
      <c r="D17" s="11">
        <v>750</v>
      </c>
      <c r="E17" s="11">
        <v>820</v>
      </c>
      <c r="G17" s="11">
        <v>750</v>
      </c>
      <c r="H17" s="11">
        <v>685</v>
      </c>
      <c r="J17" s="21">
        <v>0.75</v>
      </c>
      <c r="K17" s="22">
        <v>3</v>
      </c>
      <c r="M17" s="22">
        <v>6000</v>
      </c>
      <c r="N17" s="22">
        <v>37.6</v>
      </c>
      <c r="O17" s="22">
        <v>24.76</v>
      </c>
    </row>
    <row r="18" spans="1:15" ht="15">
      <c r="A18" s="5"/>
      <c r="B18" s="5"/>
      <c r="C18" s="5"/>
      <c r="D18" s="10">
        <v>800</v>
      </c>
      <c r="E18" s="10">
        <v>875</v>
      </c>
      <c r="G18" s="10">
        <v>800</v>
      </c>
      <c r="H18" s="10">
        <v>730</v>
      </c>
      <c r="J18" s="21">
        <v>0.5</v>
      </c>
      <c r="K18" s="22">
        <v>2</v>
      </c>
      <c r="M18" s="22">
        <v>6500</v>
      </c>
      <c r="N18" s="22">
        <v>35.8</v>
      </c>
      <c r="O18" s="22">
        <v>24.37</v>
      </c>
    </row>
    <row r="19" spans="1:15" ht="15.75">
      <c r="A19" s="30" t="s">
        <v>69</v>
      </c>
      <c r="B19" s="20"/>
      <c r="D19" s="11">
        <v>850</v>
      </c>
      <c r="E19" s="11">
        <v>929</v>
      </c>
      <c r="G19" s="11">
        <v>850</v>
      </c>
      <c r="H19" s="11">
        <v>776</v>
      </c>
      <c r="J19" s="21">
        <v>0.25</v>
      </c>
      <c r="K19" s="22">
        <v>1</v>
      </c>
      <c r="M19" s="22">
        <v>7000</v>
      </c>
      <c r="N19" s="22">
        <v>34</v>
      </c>
      <c r="O19" s="22">
        <v>23.99</v>
      </c>
    </row>
    <row r="20" spans="1:19" ht="15.75">
      <c r="A20" s="42" t="s">
        <v>70</v>
      </c>
      <c r="B20" s="43"/>
      <c r="C20" s="29"/>
      <c r="D20" s="10">
        <v>900</v>
      </c>
      <c r="E20" s="10">
        <v>984</v>
      </c>
      <c r="G20" s="10">
        <v>900</v>
      </c>
      <c r="H20" s="10">
        <v>822</v>
      </c>
      <c r="M20" s="22">
        <v>7500</v>
      </c>
      <c r="N20" s="22">
        <v>32.2</v>
      </c>
      <c r="O20" s="22">
        <v>23.61</v>
      </c>
      <c r="Q20" s="112" t="s">
        <v>106</v>
      </c>
      <c r="R20" s="113"/>
      <c r="S20" s="80"/>
    </row>
    <row r="21" spans="1:19" ht="15.75">
      <c r="A21" s="118" t="s">
        <v>68</v>
      </c>
      <c r="B21" s="22"/>
      <c r="C21" s="45"/>
      <c r="D21" s="11">
        <v>950</v>
      </c>
      <c r="E21" s="11">
        <v>1039</v>
      </c>
      <c r="F21" s="46"/>
      <c r="G21" s="11">
        <v>950</v>
      </c>
      <c r="H21" s="11">
        <v>867</v>
      </c>
      <c r="M21" s="22">
        <v>8000</v>
      </c>
      <c r="N21" s="22">
        <v>30.5</v>
      </c>
      <c r="O21" s="22">
        <v>23.24</v>
      </c>
      <c r="Q21" s="106">
        <v>72</v>
      </c>
      <c r="R21" s="114"/>
      <c r="S21" s="80"/>
    </row>
    <row r="22" spans="1:19" ht="15.75">
      <c r="A22" s="79">
        <v>200</v>
      </c>
      <c r="B22" s="119">
        <f>A22*0.913</f>
        <v>182.6</v>
      </c>
      <c r="C22" s="45"/>
      <c r="D22" s="12">
        <v>1000</v>
      </c>
      <c r="E22" s="12">
        <v>1094</v>
      </c>
      <c r="F22" s="46"/>
      <c r="G22" s="12">
        <v>1000</v>
      </c>
      <c r="H22" s="12">
        <v>913</v>
      </c>
      <c r="M22" s="22">
        <v>8500</v>
      </c>
      <c r="N22" s="22">
        <v>28.7</v>
      </c>
      <c r="O22" s="22">
        <v>22.88</v>
      </c>
      <c r="Q22" s="112" t="s">
        <v>107</v>
      </c>
      <c r="R22" s="113"/>
      <c r="S22" s="80"/>
    </row>
    <row r="23" spans="1:19" ht="15">
      <c r="A23" s="47"/>
      <c r="B23" s="28"/>
      <c r="C23" s="45"/>
      <c r="D23" s="46"/>
      <c r="E23" s="46"/>
      <c r="F23" s="46"/>
      <c r="G23" s="46"/>
      <c r="H23" s="46"/>
      <c r="M23" s="22">
        <v>9000</v>
      </c>
      <c r="N23" s="22">
        <v>26.9</v>
      </c>
      <c r="O23" s="22">
        <v>22.52</v>
      </c>
      <c r="Q23" s="115">
        <v>1</v>
      </c>
      <c r="R23" s="108"/>
      <c r="S23" s="80"/>
    </row>
    <row r="24" spans="1:19" ht="15.75">
      <c r="A24" s="118" t="s">
        <v>67</v>
      </c>
      <c r="B24" s="22"/>
      <c r="C24" s="45"/>
      <c r="D24" s="30" t="s">
        <v>73</v>
      </c>
      <c r="E24" s="48"/>
      <c r="F24" s="48"/>
      <c r="G24" s="48"/>
      <c r="H24" s="20"/>
      <c r="M24" s="22">
        <v>9500</v>
      </c>
      <c r="N24" s="22">
        <v>25.1</v>
      </c>
      <c r="O24" s="22">
        <v>22.17</v>
      </c>
      <c r="Q24" s="88" t="s">
        <v>108</v>
      </c>
      <c r="R24" s="116"/>
      <c r="S24" s="81"/>
    </row>
    <row r="25" spans="1:19" ht="15.75">
      <c r="A25" s="79">
        <v>100</v>
      </c>
      <c r="B25" s="119">
        <f>A25*1.095</f>
        <v>109.5</v>
      </c>
      <c r="C25" s="45"/>
      <c r="D25" s="120" t="s">
        <v>72</v>
      </c>
      <c r="E25" s="120" t="s">
        <v>57</v>
      </c>
      <c r="F25" s="120"/>
      <c r="G25" s="120" t="s">
        <v>57</v>
      </c>
      <c r="H25" s="120" t="s">
        <v>72</v>
      </c>
      <c r="M25" s="22">
        <v>10000</v>
      </c>
      <c r="N25" s="22">
        <v>23.3</v>
      </c>
      <c r="O25" s="22">
        <v>21.82</v>
      </c>
      <c r="Q25" s="108"/>
      <c r="R25" s="117">
        <f>(Q21*27.777)/Q23</f>
        <v>1999.944</v>
      </c>
      <c r="S25" s="82"/>
    </row>
    <row r="26" spans="4:19" ht="15">
      <c r="D26" s="79">
        <v>1</v>
      </c>
      <c r="E26" s="121">
        <f>D26*3.6</f>
        <v>3.6</v>
      </c>
      <c r="F26" s="22"/>
      <c r="G26" s="79">
        <v>1</v>
      </c>
      <c r="H26" s="122">
        <f>G26/3.6</f>
        <v>0.2777777777777778</v>
      </c>
      <c r="Q26" s="46"/>
      <c r="R26" s="46"/>
      <c r="S26" s="82"/>
    </row>
    <row r="27" spans="13:19" ht="15.75">
      <c r="M27" s="102" t="s">
        <v>110</v>
      </c>
      <c r="N27" s="48"/>
      <c r="O27" s="20"/>
      <c r="P27" s="83"/>
      <c r="Q27" s="112" t="s">
        <v>109</v>
      </c>
      <c r="R27" s="113"/>
      <c r="S27" s="80"/>
    </row>
    <row r="28" spans="13:19" ht="15">
      <c r="M28" s="103" t="s">
        <v>79</v>
      </c>
      <c r="N28" s="104">
        <v>0.5</v>
      </c>
      <c r="O28" s="105">
        <f>SUM(O29*N28)</f>
        <v>26.3988</v>
      </c>
      <c r="P28" s="81"/>
      <c r="Q28" s="106">
        <v>4</v>
      </c>
      <c r="R28" s="114"/>
      <c r="S28" s="80"/>
    </row>
    <row r="29" spans="13:19" ht="15.75">
      <c r="M29" s="103" t="s">
        <v>111</v>
      </c>
      <c r="N29" s="106">
        <v>3</v>
      </c>
      <c r="O29" s="107">
        <f>SUM(N29*R11)*12</f>
        <v>52.7976</v>
      </c>
      <c r="P29" s="81"/>
      <c r="Q29" s="112" t="s">
        <v>107</v>
      </c>
      <c r="R29" s="113"/>
      <c r="S29" s="80"/>
    </row>
    <row r="30" spans="13:19" ht="15">
      <c r="M30" s="103" t="s">
        <v>108</v>
      </c>
      <c r="N30" s="106">
        <v>100</v>
      </c>
      <c r="O30" s="108"/>
      <c r="P30" s="81"/>
      <c r="Q30" s="115">
        <v>0.7</v>
      </c>
      <c r="R30" s="108"/>
      <c r="S30" s="80"/>
    </row>
    <row r="31" spans="13:19" ht="15.75">
      <c r="M31" s="103"/>
      <c r="N31" s="108"/>
      <c r="O31" s="108"/>
      <c r="P31" s="81"/>
      <c r="Q31" s="88" t="s">
        <v>108</v>
      </c>
      <c r="R31" s="116"/>
      <c r="S31" s="81"/>
    </row>
    <row r="32" spans="13:19" ht="15.75">
      <c r="M32" s="103" t="s">
        <v>112</v>
      </c>
      <c r="N32" s="109" t="s">
        <v>57</v>
      </c>
      <c r="O32" s="109" t="s">
        <v>72</v>
      </c>
      <c r="P32" s="81"/>
      <c r="Q32" s="108"/>
      <c r="R32" s="117">
        <f>(Q28*333.33)/Q30</f>
        <v>1904.7428571428572</v>
      </c>
      <c r="S32" s="82"/>
    </row>
    <row r="33" spans="13:16" ht="15.75">
      <c r="M33" s="103" t="s">
        <v>113</v>
      </c>
      <c r="N33" s="110">
        <f>SUM(O28/1.047)</f>
        <v>25.213753581661894</v>
      </c>
      <c r="O33" s="110">
        <f>N33/3.6</f>
        <v>7.003820439350526</v>
      </c>
      <c r="P33" s="81"/>
    </row>
    <row r="34" spans="13:16" ht="15.75">
      <c r="M34" s="111" t="s">
        <v>114</v>
      </c>
      <c r="N34" s="110">
        <f>SUM((O28-6)/1.047)</f>
        <v>19.48309455587393</v>
      </c>
      <c r="O34" s="110">
        <f>N34/3.6</f>
        <v>5.41197070996498</v>
      </c>
      <c r="P34" s="81"/>
    </row>
    <row r="35" spans="13:15" ht="12.75">
      <c r="M35" s="103" t="s">
        <v>115</v>
      </c>
      <c r="N35" s="108"/>
      <c r="O35" s="108"/>
    </row>
  </sheetData>
  <sheetProtection/>
  <printOptions/>
  <pageMargins left="0.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Ballistics Calculator Enhanced Version</dc:title>
  <dc:subject>Exterior Ballistics for MS Excel</dc:subject>
  <dc:creator>David L.King</dc:creator>
  <cp:keywords/>
  <dc:description>This is a modification of an existing spreadsheet.  The version I received from the Internet site PcV was also modified from the original.  This version projects more trajectory data (additional yardage capability).</dc:description>
  <cp:lastModifiedBy>Jim.Norris</cp:lastModifiedBy>
  <cp:lastPrinted>2001-10-10T19:45:36Z</cp:lastPrinted>
  <dcterms:created xsi:type="dcterms:W3CDTF">1998-06-19T02:33:35Z</dcterms:created>
  <dcterms:modified xsi:type="dcterms:W3CDTF">2010-07-25T09:38:40Z</dcterms:modified>
  <cp:category/>
  <cp:version/>
  <cp:contentType/>
  <cp:contentStatus/>
</cp:coreProperties>
</file>